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075" windowHeight="8010"/>
  </bookViews>
  <sheets>
    <sheet name="смета  " sheetId="1" r:id="rId1"/>
  </sheets>
  <definedNames>
    <definedName name="______IRR1">#REF!</definedName>
    <definedName name="______NPV1">#REF!</definedName>
    <definedName name="_____A100000">#REF!</definedName>
    <definedName name="_____IRR1">#REF!</definedName>
    <definedName name="_____NPV1">#REF!</definedName>
    <definedName name="_____sul1">#REF!</definedName>
    <definedName name="____A100000">#REF!</definedName>
    <definedName name="____IRR1">#REF!</definedName>
    <definedName name="____NPV1">#REF!</definedName>
    <definedName name="____sul1">#REF!</definedName>
    <definedName name="___A100000">#REF!</definedName>
    <definedName name="___IRR1">#REF!</definedName>
    <definedName name="___NPV1">#REF!</definedName>
    <definedName name="___sul1">#REF!</definedName>
    <definedName name="__A100000">#REF!</definedName>
    <definedName name="__IRR1">#REF!</definedName>
    <definedName name="__NPV1">#REF!</definedName>
    <definedName name="__sul1">#REF!</definedName>
    <definedName name="_A100000">#REF!</definedName>
    <definedName name="_IRR1">#REF!</definedName>
    <definedName name="_Key1">#REF!</definedName>
    <definedName name="_Key2">#REF!</definedName>
    <definedName name="_NPV1">#REF!</definedName>
    <definedName name="_Sort">#REF!</definedName>
    <definedName name="_sul1">#REF!</definedName>
    <definedName name="a">#REF!</definedName>
    <definedName name="AS2DocOpenMode">"AS2DocumentEdit"</definedName>
    <definedName name="AS2HasNoAutoHeaderFooter">" "</definedName>
    <definedName name="b">#REF!</definedName>
    <definedName name="BILAN">#N/A</definedName>
    <definedName name="CashBalance">#REF!</definedName>
    <definedName name="CHF">91.92</definedName>
    <definedName name="Code">#REF!</definedName>
    <definedName name="COGS_from_related_parties">#REF!</definedName>
    <definedName name="crkf">{#N/A,#N/A,FALSE,"Aging Summary";#N/A,#N/A,FALSE,"Ratio Analysis";#N/A,#N/A,FALSE,"Test 120 Day Accts";#N/A,#N/A,FALSE,"Tickmarks"}</definedName>
    <definedName name="d">#REF!</definedName>
    <definedName name="DATA">#REF!</definedName>
    <definedName name="DEM">68.91</definedName>
    <definedName name="DPAYB">#REF!</definedName>
    <definedName name="Druck1">#REF!</definedName>
    <definedName name="Druck10">#REF!</definedName>
    <definedName name="Druck2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e">#REF!</definedName>
    <definedName name="EUR">134.77</definedName>
    <definedName name="Expense">#REF!</definedName>
    <definedName name="f">#REF!</definedName>
    <definedName name="Fibor_Rate_12">#REF!</definedName>
    <definedName name="Fibor_Rate_3">#REF!</definedName>
    <definedName name="Fibor_Rate_6">#REF!</definedName>
    <definedName name="FISCAL_YEARS">#REF!</definedName>
    <definedName name="GDBUT">#N/A</definedName>
    <definedName name="GDRAP">#N/A</definedName>
    <definedName name="GEBUT">#N/A</definedName>
    <definedName name="GERAP">#N/A</definedName>
    <definedName name="h">#REF!</definedName>
    <definedName name="HILH">#REF! HILH</definedName>
    <definedName name="i">#REF!</definedName>
    <definedName name="Interest_expenses">#REF!</definedName>
    <definedName name="Interest_Income">#REF!</definedName>
    <definedName name="k">#REF!</definedName>
    <definedName name="kjh">#REF! kjh</definedName>
    <definedName name="koeff4">#REF!</definedName>
    <definedName name="Libor_Rate_12">#REF!</definedName>
    <definedName name="Libor_Rate_3">#REF!</definedName>
    <definedName name="Libor_Rate_6">#REF!</definedName>
    <definedName name="lkj">#REF! lkj</definedName>
    <definedName name="Long_term_debts_to_affiliates">#REF!</definedName>
    <definedName name="Max_DSCR">#REF!</definedName>
    <definedName name="Min_DSCR">#REF!</definedName>
    <definedName name="NBK">89.57</definedName>
    <definedName name="o">#REF!</definedName>
    <definedName name="OTH1O">#REF!</definedName>
    <definedName name="Other_expnese">#REF!</definedName>
    <definedName name="P02U2">#REF!</definedName>
    <definedName name="PER1O">#REF!</definedName>
    <definedName name="PI">#REF!</definedName>
    <definedName name="q">#REF!</definedName>
    <definedName name="Receivables_from_affiliates">#REF!</definedName>
    <definedName name="RUR">4.97</definedName>
    <definedName name="s">#REF!</definedName>
    <definedName name="Sales_to_related_parties">#REF!</definedName>
    <definedName name="SATBLT">#N/A</definedName>
    <definedName name="SATBUS">#N/A</definedName>
    <definedName name="SATRAP">#N/A</definedName>
    <definedName name="shit">{#N/A,#N/A,FALSE,"Aging Summary";#N/A,#N/A,FALSE,"Ratio Analysis";#N/A,#N/A,FALSE,"Test 120 Day Accts";#N/A,#N/A,FALSE,"Tickmarks"}</definedName>
    <definedName name="shit1">{#N/A,#N/A,FALSE,"Aging Summary";#N/A,#N/A,FALSE,"Ratio Analysis";#N/A,#N/A,FALSE,"Test 120 Day Accts";#N/A,#N/A,FALSE,"Tickmarks"}</definedName>
    <definedName name="SPAYB">#REF!</definedName>
    <definedName name="SU01F">#REF!</definedName>
    <definedName name="sul">#REF!</definedName>
    <definedName name="t">#REF!</definedName>
    <definedName name="Tax_Rate">#REF!</definedName>
    <definedName name="test">{#N/A,#N/A,FALSE,"Aging Summary";#N/A,#N/A,FALSE,"Ratio Analysis";#N/A,#N/A,FALSE,"Test 120 Day Accts";#N/A,#N/A,FALSE,"Tickmarks"}</definedName>
    <definedName name="ttt">#REF!</definedName>
    <definedName name="u">#REF!</definedName>
    <definedName name="U01U10">#REF!</definedName>
    <definedName name="U01U2">#REF!</definedName>
    <definedName name="unhide">#REF!</definedName>
    <definedName name="USD">150.2</definedName>
    <definedName name="v">#REF!</definedName>
    <definedName name="V_1полугодия">#REF!</definedName>
    <definedName name="V_план">#REF!</definedName>
    <definedName name="V_план_год">#REF!</definedName>
    <definedName name="V_план_кварт">#REF!</definedName>
    <definedName name="V_план_кврт">#REF!</definedName>
    <definedName name="V_факт">#REF!</definedName>
    <definedName name="V_факт_год">#REF!</definedName>
    <definedName name="V_факт_кварт">#REF!</definedName>
    <definedName name="VAT">16%</definedName>
    <definedName name="w">#REF!</definedName>
    <definedName name="WC">#REF!</definedName>
    <definedName name="wrn.Aging._.and._.Trend._.Analysis.">{#N/A,#N/A,FALSE,"Aging Summary";#N/A,#N/A,FALSE,"Ratio Analysis";#N/A,#N/A,FALSE,"Test 120 Day Accts";#N/A,#N/A,FALSE,"Tickmarks"}</definedName>
    <definedName name="wrn.aging._.and._.Trend._.Analysis1">{#N/A,#N/A,FALSE,"Aging Summary";#N/A,#N/A,FALSE,"Ratio Analysis";#N/A,#N/A,FALSE,"Test 120 Day Accts";#N/A,#N/A,FALSE,"Tickmarks"}</definedName>
    <definedName name="y">#REF!</definedName>
    <definedName name="аро">#REF!</definedName>
    <definedName name="б">#REF!</definedName>
    <definedName name="_xlnm.Database">#REF!</definedName>
    <definedName name="в">#REF!</definedName>
    <definedName name="Всего">#REF!</definedName>
    <definedName name="г">#REF!</definedName>
    <definedName name="д">#REF!</definedName>
    <definedName name="Для_Алексея">#REF!</definedName>
    <definedName name="е">#REF!</definedName>
    <definedName name="Е_авг.">#REF!</definedName>
    <definedName name="Е_декабрь">#REF!</definedName>
    <definedName name="Е_июль">#REF!</definedName>
    <definedName name="Е_июнь">#REF!</definedName>
    <definedName name="Е_май">#REF!</definedName>
    <definedName name="Е_ноябрь">#REF!</definedName>
    <definedName name="Е_октябрь">#REF!</definedName>
    <definedName name="Е_сент.">#REF!</definedName>
    <definedName name="Е_сентябрь">#REF!</definedName>
    <definedName name="Е_февр.">#REF!</definedName>
    <definedName name="Е_январь">#REF!</definedName>
    <definedName name="ЕД._янв">#REF!</definedName>
    <definedName name="ЕД_АВГ">#REF!</definedName>
    <definedName name="ЕД_авг.">#REF!</definedName>
    <definedName name="ЕД_август.">#REF!</definedName>
    <definedName name="ЕД_АПР">#REF!</definedName>
    <definedName name="ЕД_апр.">#REF!</definedName>
    <definedName name="ЕД_ДЕК">#REF!</definedName>
    <definedName name="ЕД_дек.">#REF!</definedName>
    <definedName name="ЕД_декабр">#REF!</definedName>
    <definedName name="ЕД_декабрь">#REF!</definedName>
    <definedName name="ЕД_июль">#REF!</definedName>
    <definedName name="ЕД_ИЮЛЯ">#REF!</definedName>
    <definedName name="ЕД_июля.">#REF!</definedName>
    <definedName name="ЕД_июнь">#REF!</definedName>
    <definedName name="ЕД_ИЮНЯ">#REF!</definedName>
    <definedName name="ЕД_июня.">#REF!</definedName>
    <definedName name="ЕД_май">#REF!</definedName>
    <definedName name="ЕД_март">#REF!</definedName>
    <definedName name="ЕД_март.">#REF!</definedName>
    <definedName name="ЕД_МАРТА">#REF!</definedName>
    <definedName name="ЕД_МАЯ">#REF!</definedName>
    <definedName name="ЕД_мая.">#REF!</definedName>
    <definedName name="ЕД_нояб">#REF!</definedName>
    <definedName name="ЕД_нояб.">#REF!</definedName>
    <definedName name="ЕД_НОЯБР">#REF!</definedName>
    <definedName name="ЕД_ноябрь">#REF!</definedName>
    <definedName name="ЕД_ОКТ">#REF!</definedName>
    <definedName name="ЕД_окт.">#REF!</definedName>
    <definedName name="ЕД_сен">#REF!</definedName>
    <definedName name="ЕД_СЕНТ">#REF!</definedName>
    <definedName name="ЕД_сент.">#REF!</definedName>
    <definedName name="ЕД_фев">#REF!</definedName>
    <definedName name="ЕД_ФЕВР">#REF!</definedName>
    <definedName name="ЕД_февр.">#REF!</definedName>
    <definedName name="ЕД_ЯНВ">#REF!</definedName>
    <definedName name="ЕД_янв.">#REF!</definedName>
    <definedName name="Един_авг">#REF!</definedName>
    <definedName name="Един_апр">#REF!</definedName>
    <definedName name="Един_дек">#REF!</definedName>
    <definedName name="Един_июля">#REF!</definedName>
    <definedName name="Един_июня">#REF!</definedName>
    <definedName name="Един_марта">#REF!</definedName>
    <definedName name="Един_мая">#REF!</definedName>
    <definedName name="Един_нояб">#REF!</definedName>
    <definedName name="Един_окт">#REF!</definedName>
    <definedName name="Един_сент">#REF!</definedName>
    <definedName name="Един_февр">#REF!</definedName>
    <definedName name="Един_янв">#REF!</definedName>
    <definedName name="Единичка_апр.">#REF!</definedName>
    <definedName name="Единичка_март">#REF!</definedName>
    <definedName name="Единичка_февр.">#REF!</definedName>
    <definedName name="Единичка_янв.">#REF!</definedName>
    <definedName name="ж">#REF!</definedName>
    <definedName name="з">#REF!</definedName>
    <definedName name="Зарплата">#REF!</definedName>
    <definedName name="и">#REF!</definedName>
    <definedName name="Итого">#REF!+#REF!+#REF!+#REF!+#REF!+#REF!+#REF!+#REF!+#REF!</definedName>
    <definedName name="й">#REF!</definedName>
    <definedName name="к">#REF!</definedName>
    <definedName name="кол_во">"$#ССЫЛ!.$H$7"</definedName>
    <definedName name="кплан">"$#ССЫЛ!.$O$4"</definedName>
    <definedName name="л">#REF!</definedName>
    <definedName name="м">#REF!</definedName>
    <definedName name="Макрос1">#REF! Макрос1</definedName>
    <definedName name="н">#REF!</definedName>
    <definedName name="НДС">#REF!</definedName>
    <definedName name="о">#REF!</definedName>
    <definedName name="Объем1кв">#REF!</definedName>
    <definedName name="Объем2кв">#REF!</definedName>
    <definedName name="Объем3кв">#REF!</definedName>
    <definedName name="Объем4кв">#REF!</definedName>
    <definedName name="ОКЕЙ">#REF!</definedName>
    <definedName name="ол">#REF!</definedName>
    <definedName name="ололо">{#N/A,#N/A,FALSE,"Aging Summary";#N/A,#N/A,FALSE,"Ratio Analysis";#N/A,#N/A,FALSE,"Test 120 Day Accts";#N/A,#N/A,FALSE,"Tickmarks"}</definedName>
    <definedName name="План">#REF!</definedName>
    <definedName name="План_гСИП">#REF!</definedName>
    <definedName name="План_гЭРЦ">#REF!</definedName>
    <definedName name="Плановыйобъемгода">#REF!</definedName>
    <definedName name="р">#REF!</definedName>
    <definedName name="т">#REF!</definedName>
    <definedName name="тмз">#REF! тмз</definedName>
    <definedName name="тмх">{#N/A,#N/A,FALSE,"Aging Summary";#N/A,#N/A,FALSE,"Ratio Analysis";#N/A,#N/A,FALSE,"Test 120 Day Accts";#N/A,#N/A,FALSE,"Tickmarks"}</definedName>
    <definedName name="у">#REF!</definedName>
    <definedName name="Упорядочить_по_областям">#N/A</definedName>
    <definedName name="ф">#REF!</definedName>
    <definedName name="Факт_с_начала_года">#REF!</definedName>
    <definedName name="Фактсначалагода">#REF!</definedName>
    <definedName name="х">#REF!</definedName>
    <definedName name="ц">#REF!</definedName>
    <definedName name="ш">#REF!</definedName>
    <definedName name="щ">#REF!</definedName>
    <definedName name="ъ">#REF!</definedName>
    <definedName name="ы">#REF!</definedName>
    <definedName name="ь">#REF!</definedName>
    <definedName name="э">#REF!</definedName>
    <definedName name="ю">#REF!</definedName>
  </definedNames>
  <calcPr calcId="144525" iterateDelta="1E-4"/>
</workbook>
</file>

<file path=xl/calcChain.xml><?xml version="1.0" encoding="utf-8"?>
<calcChain xmlns="http://schemas.openxmlformats.org/spreadsheetml/2006/main">
  <c r="L79" i="1" l="1"/>
  <c r="L47" i="1"/>
  <c r="E59" i="1" l="1"/>
  <c r="F59" i="1"/>
  <c r="G59" i="1"/>
  <c r="H59" i="1"/>
  <c r="I59" i="1"/>
  <c r="J59" i="1"/>
  <c r="K59" i="1"/>
  <c r="D59" i="1"/>
  <c r="E58" i="1"/>
  <c r="F58" i="1"/>
  <c r="G58" i="1"/>
  <c r="H58" i="1"/>
  <c r="I58" i="1"/>
  <c r="J58" i="1"/>
  <c r="K58" i="1"/>
  <c r="E53" i="1"/>
  <c r="F53" i="1"/>
  <c r="G53" i="1"/>
  <c r="H53" i="1"/>
  <c r="I53" i="1"/>
  <c r="J53" i="1"/>
  <c r="K53" i="1"/>
  <c r="E43" i="1"/>
  <c r="F43" i="1"/>
  <c r="G43" i="1"/>
  <c r="H43" i="1"/>
  <c r="I43" i="1"/>
  <c r="J43" i="1"/>
  <c r="K43" i="1"/>
  <c r="E40" i="1"/>
  <c r="F40" i="1"/>
  <c r="G40" i="1"/>
  <c r="H40" i="1"/>
  <c r="I40" i="1"/>
  <c r="J40" i="1"/>
  <c r="K40" i="1"/>
  <c r="E33" i="1"/>
  <c r="F33" i="1"/>
  <c r="G33" i="1"/>
  <c r="H33" i="1"/>
  <c r="I33" i="1"/>
  <c r="J33" i="1"/>
  <c r="K33" i="1"/>
  <c r="E22" i="1"/>
  <c r="F22" i="1"/>
  <c r="G22" i="1"/>
  <c r="H22" i="1"/>
  <c r="I22" i="1"/>
  <c r="J22" i="1"/>
  <c r="K22" i="1"/>
  <c r="D98" i="1" l="1"/>
  <c r="K98" i="1"/>
  <c r="K99" i="1"/>
  <c r="E99" i="1"/>
  <c r="F99" i="1"/>
  <c r="G99" i="1"/>
  <c r="H99" i="1"/>
  <c r="I99" i="1"/>
  <c r="J99" i="1"/>
  <c r="D99" i="1"/>
  <c r="K93" i="1"/>
  <c r="K97" i="1" s="1"/>
  <c r="D93" i="1"/>
  <c r="D97" i="1" s="1"/>
  <c r="K47" i="1"/>
  <c r="K90" i="1" l="1"/>
  <c r="K88" i="1"/>
  <c r="K74" i="1"/>
  <c r="K71" i="1"/>
  <c r="K68" i="1"/>
  <c r="K62" i="1"/>
  <c r="K61" i="1"/>
  <c r="K55" i="1"/>
  <c r="K24" i="1"/>
  <c r="D65" i="1"/>
  <c r="D33" i="1"/>
  <c r="D22" i="1"/>
  <c r="K57" i="1"/>
  <c r="K56" i="1"/>
  <c r="K41" i="1" l="1"/>
  <c r="K49" i="1"/>
  <c r="K64" i="1"/>
  <c r="K66" i="1"/>
  <c r="K67" i="1"/>
  <c r="K36" i="1"/>
  <c r="K35" i="1"/>
  <c r="K32" i="1"/>
  <c r="K65" i="1" l="1"/>
  <c r="K31" i="1"/>
  <c r="K30" i="1"/>
  <c r="K29" i="1"/>
  <c r="K28" i="1" l="1"/>
  <c r="L88" i="1" l="1"/>
  <c r="L82" i="1"/>
  <c r="E81" i="1"/>
  <c r="L81" i="1" s="1"/>
  <c r="L80" i="1"/>
  <c r="L78" i="1"/>
  <c r="L77" i="1"/>
  <c r="L76" i="1"/>
  <c r="L75" i="1"/>
  <c r="L74" i="1"/>
  <c r="L73" i="1"/>
  <c r="L72" i="1"/>
  <c r="J71" i="1"/>
  <c r="I71" i="1"/>
  <c r="H71" i="1"/>
  <c r="G71" i="1"/>
  <c r="F71" i="1"/>
  <c r="E71" i="1"/>
  <c r="L71" i="1" s="1"/>
  <c r="E70" i="1"/>
  <c r="L70" i="1" s="1"/>
  <c r="L69" i="1"/>
  <c r="L68" i="1"/>
  <c r="J68" i="1"/>
  <c r="J67" i="1"/>
  <c r="I67" i="1"/>
  <c r="H67" i="1"/>
  <c r="G67" i="1"/>
  <c r="F67" i="1"/>
  <c r="E67" i="1"/>
  <c r="L67" i="1" s="1"/>
  <c r="J66" i="1"/>
  <c r="I66" i="1"/>
  <c r="H66" i="1"/>
  <c r="G66" i="1"/>
  <c r="G65" i="1" s="1"/>
  <c r="F66" i="1"/>
  <c r="E66" i="1"/>
  <c r="D58" i="1"/>
  <c r="J64" i="1"/>
  <c r="I64" i="1"/>
  <c r="H64" i="1"/>
  <c r="G64" i="1"/>
  <c r="L64" i="1" s="1"/>
  <c r="F64" i="1"/>
  <c r="L63" i="1"/>
  <c r="J62" i="1"/>
  <c r="I62" i="1"/>
  <c r="H62" i="1"/>
  <c r="G62" i="1"/>
  <c r="F62" i="1"/>
  <c r="E62" i="1"/>
  <c r="L62" i="1" s="1"/>
  <c r="J61" i="1"/>
  <c r="I61" i="1"/>
  <c r="H61" i="1"/>
  <c r="G61" i="1"/>
  <c r="F61" i="1"/>
  <c r="E61" i="1"/>
  <c r="L61" i="1" s="1"/>
  <c r="L57" i="1"/>
  <c r="L56" i="1"/>
  <c r="L55" i="1"/>
  <c r="D53" i="1"/>
  <c r="L52" i="1"/>
  <c r="J50" i="1"/>
  <c r="I50" i="1"/>
  <c r="H50" i="1"/>
  <c r="G50" i="1"/>
  <c r="F50" i="1"/>
  <c r="E50" i="1"/>
  <c r="I49" i="1"/>
  <c r="H49" i="1"/>
  <c r="G49" i="1"/>
  <c r="F49" i="1"/>
  <c r="L50" i="1" s="1"/>
  <c r="E49" i="1"/>
  <c r="L49" i="1"/>
  <c r="J47" i="1"/>
  <c r="I47" i="1"/>
  <c r="H47" i="1"/>
  <c r="G47" i="1"/>
  <c r="F47" i="1"/>
  <c r="E47" i="1"/>
  <c r="L48" i="1" s="1"/>
  <c r="L46" i="1"/>
  <c r="L45" i="1"/>
  <c r="L44" i="1"/>
  <c r="D43" i="1"/>
  <c r="J41" i="1"/>
  <c r="I41" i="1"/>
  <c r="H41" i="1"/>
  <c r="G41" i="1"/>
  <c r="F41" i="1"/>
  <c r="E41" i="1"/>
  <c r="L41" i="1" s="1"/>
  <c r="D40" i="1"/>
  <c r="E39" i="1"/>
  <c r="K39" i="1" s="1"/>
  <c r="L39" i="1" s="1"/>
  <c r="L38" i="1"/>
  <c r="I37" i="1"/>
  <c r="L37" i="1" s="1"/>
  <c r="J36" i="1"/>
  <c r="I36" i="1"/>
  <c r="H36" i="1"/>
  <c r="G36" i="1"/>
  <c r="L36" i="1" s="1"/>
  <c r="F36" i="1"/>
  <c r="E36" i="1"/>
  <c r="L35" i="1"/>
  <c r="J35" i="1"/>
  <c r="I35" i="1"/>
  <c r="H35" i="1"/>
  <c r="G35" i="1"/>
  <c r="F35" i="1"/>
  <c r="E35" i="1"/>
  <c r="H32" i="1"/>
  <c r="G32" i="1"/>
  <c r="F32" i="1"/>
  <c r="E32" i="1"/>
  <c r="L32" i="1" s="1"/>
  <c r="L31" i="1"/>
  <c r="L30" i="1"/>
  <c r="L29" i="1"/>
  <c r="L28" i="1"/>
  <c r="L26" i="1"/>
  <c r="L24" i="1"/>
  <c r="D20" i="1" l="1"/>
  <c r="D84" i="1" s="1"/>
  <c r="D87" i="1" s="1"/>
  <c r="J20" i="1"/>
  <c r="L53" i="1"/>
  <c r="I65" i="1"/>
  <c r="H20" i="1"/>
  <c r="F65" i="1"/>
  <c r="J65" i="1"/>
  <c r="G20" i="1"/>
  <c r="L40" i="1"/>
  <c r="H65" i="1"/>
  <c r="F20" i="1"/>
  <c r="F84" i="1" s="1"/>
  <c r="F87" i="1" s="1"/>
  <c r="L66" i="1"/>
  <c r="E65" i="1"/>
  <c r="L22" i="1"/>
  <c r="L51" i="1"/>
  <c r="J84" i="1" l="1"/>
  <c r="J87" i="1" s="1"/>
  <c r="H84" i="1"/>
  <c r="H87" i="1" s="1"/>
  <c r="I20" i="1"/>
  <c r="I84" i="1" s="1"/>
  <c r="I87" i="1" s="1"/>
  <c r="E20" i="1"/>
  <c r="K20" i="1" s="1"/>
  <c r="L20" i="1" s="1"/>
  <c r="L43" i="1"/>
  <c r="L33" i="1"/>
  <c r="D91" i="1"/>
  <c r="G84" i="1"/>
  <c r="G87" i="1" s="1"/>
  <c r="E84" i="1" l="1"/>
  <c r="E87" i="1" s="1"/>
  <c r="L65" i="1"/>
  <c r="L59" i="1" l="1"/>
  <c r="K84" i="1" l="1"/>
  <c r="L58" i="1"/>
  <c r="L84" i="1" l="1"/>
  <c r="K87" i="1"/>
  <c r="L87" i="1" s="1"/>
  <c r="J97" i="1"/>
  <c r="E97" i="1"/>
  <c r="J98" i="1"/>
  <c r="J95" i="1"/>
  <c r="J93" i="1"/>
  <c r="I97" i="1"/>
  <c r="G98" i="1"/>
  <c r="E98" i="1"/>
  <c r="E95" i="1"/>
  <c r="E93" i="1"/>
  <c r="H98" i="1"/>
  <c r="I98" i="1"/>
  <c r="I95" i="1"/>
  <c r="I93" i="1"/>
  <c r="G97" i="1"/>
  <c r="G93" i="1"/>
  <c r="G95" i="1"/>
  <c r="F98" i="1"/>
  <c r="H97" i="1"/>
  <c r="H93" i="1"/>
  <c r="H95" i="1"/>
  <c r="F95" i="1"/>
  <c r="F93" i="1"/>
  <c r="F97" i="1"/>
</calcChain>
</file>

<file path=xl/sharedStrings.xml><?xml version="1.0" encoding="utf-8"?>
<sst xmlns="http://schemas.openxmlformats.org/spreadsheetml/2006/main" count="305" uniqueCount="188">
  <si>
    <t>Приложение 2</t>
  </si>
  <si>
    <t>к Правилам утверждения тарифов</t>
  </si>
  <si>
    <t>(цен, ставок сборов) и тарифных смет</t>
  </si>
  <si>
    <t>на регулируемые услуги (товары, работы)</t>
  </si>
  <si>
    <t xml:space="preserve">субъектов естественных монополий </t>
  </si>
  <si>
    <t>форма</t>
  </si>
  <si>
    <t>Отчет об исполнении тарифной сметы на регулируемые  услуги по передаче, распределению и снабжению тепловой энергией</t>
  </si>
  <si>
    <t>Индекс: ОИТС-1</t>
  </si>
  <si>
    <r>
      <t>Периодичность</t>
    </r>
    <r>
      <rPr>
        <sz val="12"/>
        <rFont val="Times New Roman"/>
        <family val="1"/>
        <charset val="204"/>
      </rPr>
      <t>: полугодие</t>
    </r>
  </si>
  <si>
    <r>
      <rPr>
        <b/>
        <sz val="12"/>
        <rFont val="Times New Roman"/>
        <family val="1"/>
        <charset val="204"/>
      </rPr>
      <t>Предоставляют</t>
    </r>
    <r>
      <rPr>
        <sz val="12"/>
        <rFont val="Times New Roman"/>
        <family val="1"/>
        <charset val="204"/>
      </rPr>
      <t>: Товарищество с ограниченной ответственностью "Абайлық жылу жүйелері"</t>
    </r>
  </si>
  <si>
    <r>
      <rPr>
        <b/>
        <sz val="12"/>
        <rFont val="Times New Roman"/>
        <family val="1"/>
        <charset val="204"/>
      </rPr>
      <t>Куда представляется форма:</t>
    </r>
    <r>
      <rPr>
        <sz val="12"/>
        <rFont val="Times New Roman"/>
        <family val="1"/>
        <charset val="204"/>
      </rPr>
      <t xml:space="preserve"> в Комитет по регулированию естественных монополий и защите конкуренции Министерства национальной экономики Республики Казахстан по Карагандинской области</t>
    </r>
  </si>
  <si>
    <t>№ п/п</t>
  </si>
  <si>
    <t>Наименование показателей тарифной сметы</t>
  </si>
  <si>
    <t>Единицы измерения</t>
  </si>
  <si>
    <t>Предусмотрено в утвержденной тарифной смете</t>
  </si>
  <si>
    <t>январь</t>
  </si>
  <si>
    <t>февраль</t>
  </si>
  <si>
    <t>март</t>
  </si>
  <si>
    <t>апрель</t>
  </si>
  <si>
    <t>май</t>
  </si>
  <si>
    <t>июнь</t>
  </si>
  <si>
    <t>Отклонение, в %</t>
  </si>
  <si>
    <t>Причины отклонения</t>
  </si>
  <si>
    <t>I</t>
  </si>
  <si>
    <t>Затраты на производство товаров и предоставление услуг, всего</t>
  </si>
  <si>
    <t>тыс.тенге</t>
  </si>
  <si>
    <t xml:space="preserve">Фактически сложившиеся затраты за I полугодие  </t>
  </si>
  <si>
    <t>в том числе:</t>
  </si>
  <si>
    <t>1.</t>
  </si>
  <si>
    <t>Материальные затраты, всего</t>
  </si>
  <si>
    <t>1.1</t>
  </si>
  <si>
    <t>сырье и материалы</t>
  </si>
  <si>
    <t>1.2</t>
  </si>
  <si>
    <t>покупные изделия</t>
  </si>
  <si>
    <t>1.3</t>
  </si>
  <si>
    <t>ГСМ</t>
  </si>
  <si>
    <t>1.4</t>
  </si>
  <si>
    <t>топливо</t>
  </si>
  <si>
    <t>1.5</t>
  </si>
  <si>
    <t>энергия</t>
  </si>
  <si>
    <t>1.6</t>
  </si>
  <si>
    <t>теплоэнергия покупная</t>
  </si>
  <si>
    <t>1.7</t>
  </si>
  <si>
    <t>затраты на компенсацию нормативных потерь</t>
  </si>
  <si>
    <t>1.8</t>
  </si>
  <si>
    <t>тепловая энергия на собственные нужды</t>
  </si>
  <si>
    <t>1.9</t>
  </si>
  <si>
    <t>подпитка горячей воды</t>
  </si>
  <si>
    <t>2.</t>
  </si>
  <si>
    <t>Затраты на оплату труда, всего</t>
  </si>
  <si>
    <t>2.1</t>
  </si>
  <si>
    <t>заработная плата производственного персонала</t>
  </si>
  <si>
    <t>2.2</t>
  </si>
  <si>
    <t>социальный налог</t>
  </si>
  <si>
    <t>2.3</t>
  </si>
  <si>
    <t>обязательные профессиональные пенсионные взносы</t>
  </si>
  <si>
    <t>2.4</t>
  </si>
  <si>
    <t xml:space="preserve">обязательное социальное медицинское страхование </t>
  </si>
  <si>
    <t>3.</t>
  </si>
  <si>
    <t>Амортизация</t>
  </si>
  <si>
    <t>4.</t>
  </si>
  <si>
    <t xml:space="preserve">Ремонт, всего </t>
  </si>
  <si>
    <t>Ремонтные работы, осуществляются согласно утвержденного графика</t>
  </si>
  <si>
    <t>4.1</t>
  </si>
  <si>
    <t>текущий  ремонт</t>
  </si>
  <si>
    <t>4.2.</t>
  </si>
  <si>
    <t xml:space="preserve">капитальный  ремонт, не приводящий к росту стоимости основных фондов </t>
  </si>
  <si>
    <t>-</t>
  </si>
  <si>
    <t>5</t>
  </si>
  <si>
    <t>Услуги сторонних организаций производственного характера, всего</t>
  </si>
  <si>
    <t>5.1</t>
  </si>
  <si>
    <t>услуги по испытанию электрооборудования</t>
  </si>
  <si>
    <t>5.2</t>
  </si>
  <si>
    <t>услуги по энергетическому обследованию объектов</t>
  </si>
  <si>
    <t>5.3</t>
  </si>
  <si>
    <t>обучение производственного персонала</t>
  </si>
  <si>
    <t>5.4</t>
  </si>
  <si>
    <t>5.5</t>
  </si>
  <si>
    <t>обслуживание ОПУ (общедомовые приборы учета)</t>
  </si>
  <si>
    <t>5.6</t>
  </si>
  <si>
    <t>услуги связи</t>
  </si>
  <si>
    <t>5.7</t>
  </si>
  <si>
    <t>страхование автотранспорта</t>
  </si>
  <si>
    <t>5.8</t>
  </si>
  <si>
    <t>обязательное страхование работников</t>
  </si>
  <si>
    <t>5.9</t>
  </si>
  <si>
    <t>техосмотр автотранспорта</t>
  </si>
  <si>
    <t>энергоаудит</t>
  </si>
  <si>
    <t>6</t>
  </si>
  <si>
    <t>Прочие затраты, всего</t>
  </si>
  <si>
    <t>6.1</t>
  </si>
  <si>
    <t>охрана труда</t>
  </si>
  <si>
    <t>6.2</t>
  </si>
  <si>
    <t>6.3</t>
  </si>
  <si>
    <t>автомобильные шины</t>
  </si>
  <si>
    <t>аккумуляторные батареи</t>
  </si>
  <si>
    <t xml:space="preserve">Данные затраты понесены в пределах утвержденного тарифа. Увеличение,  связано с ростом цен на аккумуляторные батареи. </t>
  </si>
  <si>
    <t>II</t>
  </si>
  <si>
    <t>Расходы периода, всего</t>
  </si>
  <si>
    <t>7.</t>
  </si>
  <si>
    <t>Общие административные расходы, всего</t>
  </si>
  <si>
    <t>7.1</t>
  </si>
  <si>
    <t>заработная плата административного персонала</t>
  </si>
  <si>
    <t>7.2</t>
  </si>
  <si>
    <t>7.3</t>
  </si>
  <si>
    <t>7.4</t>
  </si>
  <si>
    <t>налоговые платежи и сборы</t>
  </si>
  <si>
    <t>7.5</t>
  </si>
  <si>
    <t>Другие расходы</t>
  </si>
  <si>
    <t>7.5.1.</t>
  </si>
  <si>
    <t>амортизация</t>
  </si>
  <si>
    <t>7.5.2.</t>
  </si>
  <si>
    <t>услуги банка</t>
  </si>
  <si>
    <t>7.5.3.</t>
  </si>
  <si>
    <t>командировочные расходы</t>
  </si>
  <si>
    <t>7.5.4.</t>
  </si>
  <si>
    <t>коммунальные услуги</t>
  </si>
  <si>
    <t>7.5.5.</t>
  </si>
  <si>
    <t>канцелярские расходы</t>
  </si>
  <si>
    <t>7.5.6.</t>
  </si>
  <si>
    <t>7.5.7.</t>
  </si>
  <si>
    <t>периодическая печать</t>
  </si>
  <si>
    <t>7.5.8.</t>
  </si>
  <si>
    <t>информационные услуги</t>
  </si>
  <si>
    <t>7.5.9.</t>
  </si>
  <si>
    <t>обслуживание оргтехники</t>
  </si>
  <si>
    <t>7.5.10.</t>
  </si>
  <si>
    <t>7.5.11.</t>
  </si>
  <si>
    <t>обязательный медицинский осмотр сотрудников</t>
  </si>
  <si>
    <t>7.5.12.</t>
  </si>
  <si>
    <t>обслуживание программного обеспечения</t>
  </si>
  <si>
    <t>7.5.13.</t>
  </si>
  <si>
    <t>обучение административного персонала</t>
  </si>
  <si>
    <t>7.5.14.</t>
  </si>
  <si>
    <t>услуги "Казгидромет"</t>
  </si>
  <si>
    <t>7.5.15.</t>
  </si>
  <si>
    <t xml:space="preserve">услуги по разработке структуры и содержания WEB страниц в интернете </t>
  </si>
  <si>
    <t>7.5.16.</t>
  </si>
  <si>
    <t>почтовые расходы</t>
  </si>
  <si>
    <t xml:space="preserve">Увеличение по данной статье затрат связанно с увеличением объема почтовых отправлений </t>
  </si>
  <si>
    <t>7.5.17.</t>
  </si>
  <si>
    <t>обязательные членские взносы</t>
  </si>
  <si>
    <t>8</t>
  </si>
  <si>
    <t>Расходы на выплату вознаграждений</t>
  </si>
  <si>
    <t>III</t>
  </si>
  <si>
    <t>Всего затрат на предоставление услуг</t>
  </si>
  <si>
    <t>IV</t>
  </si>
  <si>
    <t>Доход (РБА*СП)</t>
  </si>
  <si>
    <t>V</t>
  </si>
  <si>
    <t>Регулируемая база задействованных активов</t>
  </si>
  <si>
    <t>VI</t>
  </si>
  <si>
    <t>Всего доходов</t>
  </si>
  <si>
    <t>VII</t>
  </si>
  <si>
    <t>Объемы оказываемых услуг (товаров, работ)</t>
  </si>
  <si>
    <t>Гкал</t>
  </si>
  <si>
    <t>VIII</t>
  </si>
  <si>
    <t>Нормативные потери</t>
  </si>
  <si>
    <t>%</t>
  </si>
  <si>
    <t>Тариф (без НДС)</t>
  </si>
  <si>
    <t>тенге/Гкал</t>
  </si>
  <si>
    <t>Справочно</t>
  </si>
  <si>
    <t>9</t>
  </si>
  <si>
    <t>Среднесписочная численность персонала</t>
  </si>
  <si>
    <t>человек</t>
  </si>
  <si>
    <t>9.1.</t>
  </si>
  <si>
    <t>производственного</t>
  </si>
  <si>
    <t>9.2.</t>
  </si>
  <si>
    <t>административного</t>
  </si>
  <si>
    <t>10</t>
  </si>
  <si>
    <t>Среднемесячная заработная плата, всего, в т.ч.:</t>
  </si>
  <si>
    <t>тенге</t>
  </si>
  <si>
    <t>10.1</t>
  </si>
  <si>
    <t>производственного персонала</t>
  </si>
  <si>
    <t>10.2</t>
  </si>
  <si>
    <t>административного персонала</t>
  </si>
  <si>
    <r>
      <rPr>
        <sz val="12"/>
        <rFont val="Times New Roman"/>
        <family val="1"/>
        <charset val="204"/>
      </rPr>
      <t xml:space="preserve">Наименование организации     </t>
    </r>
    <r>
      <rPr>
        <u/>
        <sz val="12"/>
        <color rgb="FF000000"/>
        <rFont val="Times New Roman"/>
        <family val="1"/>
        <charset val="204"/>
      </rPr>
      <t>Товарищество с ограниченной ответственностью "Абайлық жылу жүйелері"</t>
    </r>
  </si>
  <si>
    <r>
      <rPr>
        <sz val="12"/>
        <rFont val="Times New Roman"/>
        <family val="1"/>
        <charset val="204"/>
      </rPr>
      <t xml:space="preserve">Адрес    </t>
    </r>
    <r>
      <rPr>
        <u/>
        <sz val="12"/>
        <rFont val="Times New Roman"/>
        <family val="1"/>
        <charset val="204"/>
      </rPr>
      <t>Карагандинская область, г. Абай, ул. Карла Маркса 2</t>
    </r>
  </si>
  <si>
    <t>Адрес электронной почты Abayteplo@gmail.com</t>
  </si>
  <si>
    <t>Фамилия и телефон исполнителя Галкер М.А. +77073008642</t>
  </si>
  <si>
    <t xml:space="preserve">Фактически сложившиеся показатели тарифной сметы за I полугодие 2019 года </t>
  </si>
  <si>
    <t>Отчетный период  I полугодие 2019 года</t>
  </si>
  <si>
    <t>Увеличение связано с повышением стоимости закупаемых товаров</t>
  </si>
  <si>
    <r>
      <t xml:space="preserve">Телефон </t>
    </r>
    <r>
      <rPr>
        <u/>
        <sz val="12"/>
        <rFont val="Times New Roman"/>
        <family val="1"/>
        <charset val="204"/>
      </rPr>
      <t>8 (72131) 79053</t>
    </r>
  </si>
  <si>
    <t>В пределах допустимых 5 %</t>
  </si>
  <si>
    <t>Исполнение по данным статьям затрат предусмотренно на II полугодие</t>
  </si>
  <si>
    <t xml:space="preserve">Увеличение затрат связано с  увеличением объема размещения информации о деятельности предприятия в СМИ  </t>
  </si>
  <si>
    <t>И.о.руководителя Балтабеков Е.К.</t>
  </si>
  <si>
    <t>Дата « 23 » июля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</si>
</sst>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\ * #,##0.00&quot;    &quot;;\-* #,##0.00&quot;    &quot;;\ * \-#&quot;    &quot;;\ @\ "/>
    <numFmt numFmtId="165" formatCode="\ * #,##0&quot;    &quot;;\-* #,##0&quot;    &quot;;\ * \-#&quot;    &quot;;\ @\ 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2">
    <xf numFmtId="0" fontId="0" fillId="0" borderId="0" xfId="0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2" fillId="0" borderId="0" xfId="1" applyFont="1" applyBorder="1" applyAlignment="1" applyProtection="1">
      <alignment horizontal="center"/>
    </xf>
    <xf numFmtId="0" fontId="2" fillId="2" borderId="0" xfId="0" applyFont="1" applyFill="1" applyAlignment="1"/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1" applyFont="1" applyBorder="1" applyAlignment="1" applyProtection="1"/>
    <xf numFmtId="164" fontId="4" fillId="2" borderId="1" xfId="1" applyFont="1" applyFill="1" applyBorder="1" applyAlignment="1" applyProtection="1"/>
    <xf numFmtId="164" fontId="4" fillId="0" borderId="1" xfId="1" applyFont="1" applyBorder="1" applyAlignment="1" applyProtection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164" fontId="2" fillId="0" borderId="1" xfId="1" applyFont="1" applyBorder="1" applyAlignment="1" applyProtection="1"/>
    <xf numFmtId="164" fontId="2" fillId="2" borderId="1" xfId="0" applyNumberFormat="1" applyFont="1" applyFill="1" applyBorder="1" applyAlignment="1"/>
    <xf numFmtId="164" fontId="2" fillId="0" borderId="1" xfId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4" fillId="2" borderId="1" xfId="0" applyNumberFormat="1" applyFont="1" applyFill="1" applyBorder="1" applyAlignment="1"/>
    <xf numFmtId="0" fontId="4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164" fontId="2" fillId="4" borderId="1" xfId="1" applyFont="1" applyFill="1" applyBorder="1" applyAlignment="1" applyProtection="1"/>
    <xf numFmtId="164" fontId="2" fillId="4" borderId="1" xfId="1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 applyProtection="1"/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3" fillId="2" borderId="1" xfId="1" applyFont="1" applyFill="1" applyBorder="1" applyAlignment="1">
      <alignment horizontal="left" wrapText="1"/>
    </xf>
    <xf numFmtId="9" fontId="2" fillId="0" borderId="0" xfId="0" applyNumberFormat="1" applyFont="1" applyAlignment="1"/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wrapText="1"/>
    </xf>
    <xf numFmtId="164" fontId="2" fillId="6" borderId="1" xfId="1" applyFont="1" applyFill="1" applyBorder="1" applyAlignment="1" applyProtection="1"/>
    <xf numFmtId="43" fontId="4" fillId="2" borderId="1" xfId="0" applyNumberFormat="1" applyFont="1" applyFill="1" applyBorder="1" applyAlignment="1"/>
    <xf numFmtId="164" fontId="4" fillId="0" borderId="1" xfId="0" applyNumberFormat="1" applyFont="1" applyBorder="1" applyAlignment="1"/>
    <xf numFmtId="164" fontId="2" fillId="0" borderId="0" xfId="0" applyNumberFormat="1" applyFont="1" applyAlignment="1"/>
    <xf numFmtId="165" fontId="4" fillId="0" borderId="1" xfId="1" applyNumberFormat="1" applyFont="1" applyBorder="1" applyAlignment="1" applyProtection="1"/>
    <xf numFmtId="165" fontId="4" fillId="2" borderId="1" xfId="1" applyNumberFormat="1" applyFont="1" applyFill="1" applyBorder="1" applyAlignment="1" applyProtection="1"/>
    <xf numFmtId="165" fontId="4" fillId="0" borderId="1" xfId="1" applyNumberFormat="1" applyFont="1" applyBorder="1" applyAlignment="1" applyProtection="1">
      <alignment horizontal="center"/>
    </xf>
    <xf numFmtId="165" fontId="2" fillId="2" borderId="1" xfId="1" applyNumberFormat="1" applyFont="1" applyFill="1" applyBorder="1" applyAlignment="1" applyProtection="1"/>
    <xf numFmtId="165" fontId="2" fillId="0" borderId="1" xfId="1" applyNumberFormat="1" applyFont="1" applyBorder="1" applyAlignment="1" applyProtection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164" fontId="4" fillId="0" borderId="0" xfId="1" applyFont="1" applyBorder="1" applyAlignment="1" applyProtection="1"/>
    <xf numFmtId="164" fontId="4" fillId="2" borderId="0" xfId="1" applyFont="1" applyFill="1" applyBorder="1" applyAlignment="1" applyProtection="1"/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6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164" fontId="4" fillId="2" borderId="1" xfId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aytep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Q109"/>
  <sheetViews>
    <sheetView tabSelected="1" zoomScale="88" zoomScaleNormal="88" workbookViewId="0">
      <selection activeCell="L107" sqref="L107"/>
    </sheetView>
  </sheetViews>
  <sheetFormatPr defaultRowHeight="15.75" outlineLevelRow="1" x14ac:dyDescent="0.25"/>
  <cols>
    <col min="1" max="1" width="9" style="1" customWidth="1"/>
    <col min="2" max="2" width="55.85546875" style="2" customWidth="1"/>
    <col min="3" max="3" width="14.7109375" style="2" customWidth="1"/>
    <col min="4" max="4" width="19.140625" style="5" customWidth="1"/>
    <col min="5" max="8" width="14.42578125" style="5" hidden="1" customWidth="1"/>
    <col min="9" max="9" width="14.140625" style="5" hidden="1" customWidth="1"/>
    <col min="10" max="10" width="15.140625" style="5" hidden="1" customWidth="1"/>
    <col min="11" max="11" width="23.28515625" style="6" customWidth="1"/>
    <col min="12" max="12" width="15.85546875" style="2" customWidth="1"/>
    <col min="13" max="13" width="43.140625" style="64" customWidth="1"/>
    <col min="14" max="14" width="13.7109375" style="2" customWidth="1"/>
    <col min="15" max="15" width="24" style="2" customWidth="1"/>
    <col min="16" max="19" width="11.85546875" style="2" customWidth="1"/>
    <col min="20" max="1031" width="9.140625" style="2" customWidth="1"/>
  </cols>
  <sheetData>
    <row r="1" spans="1:13" x14ac:dyDescent="0.25">
      <c r="C1" s="3"/>
      <c r="D1" s="3"/>
      <c r="E1" s="3"/>
      <c r="F1" s="3"/>
      <c r="G1" s="3"/>
      <c r="H1" s="3"/>
      <c r="I1" s="3"/>
      <c r="J1" s="3"/>
      <c r="K1" s="4"/>
      <c r="M1" s="63" t="s">
        <v>0</v>
      </c>
    </row>
    <row r="2" spans="1:13" ht="18" customHeight="1" x14ac:dyDescent="0.25">
      <c r="C2" s="3"/>
      <c r="D2" s="3"/>
      <c r="E2" s="3"/>
      <c r="F2" s="3"/>
      <c r="G2" s="3"/>
      <c r="H2" s="3"/>
      <c r="I2" s="3"/>
      <c r="J2" s="3"/>
      <c r="K2" s="4"/>
      <c r="M2" s="63" t="s">
        <v>1</v>
      </c>
    </row>
    <row r="3" spans="1:13" ht="18" customHeight="1" x14ac:dyDescent="0.25">
      <c r="C3" s="3"/>
      <c r="D3" s="3"/>
      <c r="E3" s="3"/>
      <c r="F3" s="3"/>
      <c r="G3" s="3"/>
      <c r="H3" s="3"/>
      <c r="I3" s="3"/>
      <c r="J3" s="3"/>
      <c r="K3" s="4"/>
      <c r="M3" s="63" t="s">
        <v>2</v>
      </c>
    </row>
    <row r="4" spans="1:13" ht="18" customHeight="1" x14ac:dyDescent="0.25">
      <c r="C4" s="3"/>
      <c r="D4" s="3"/>
      <c r="E4" s="3"/>
      <c r="F4" s="3"/>
      <c r="G4" s="3"/>
      <c r="H4" s="3"/>
      <c r="I4" s="3"/>
      <c r="J4" s="3"/>
      <c r="K4" s="4"/>
      <c r="M4" s="63" t="s">
        <v>3</v>
      </c>
    </row>
    <row r="5" spans="1:13" ht="18" customHeight="1" x14ac:dyDescent="0.25">
      <c r="C5" s="3"/>
      <c r="D5" s="3"/>
      <c r="E5" s="3"/>
      <c r="F5" s="3"/>
      <c r="G5" s="3"/>
      <c r="H5" s="3"/>
      <c r="I5" s="3"/>
      <c r="J5" s="3"/>
      <c r="K5" s="4"/>
      <c r="M5" s="63" t="s">
        <v>4</v>
      </c>
    </row>
    <row r="6" spans="1:13" ht="18" customHeight="1" x14ac:dyDescent="0.25">
      <c r="C6" s="3"/>
      <c r="M6" s="64" t="s">
        <v>5</v>
      </c>
    </row>
    <row r="7" spans="1:13" ht="18" customHeight="1" x14ac:dyDescent="0.25">
      <c r="C7" s="3"/>
    </row>
    <row r="8" spans="1:13" ht="15" customHeight="1" x14ac:dyDescent="0.25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</row>
    <row r="9" spans="1:13" ht="36.75" customHeight="1" x14ac:dyDescent="0.25">
      <c r="A9" s="88" t="s">
        <v>180</v>
      </c>
      <c r="B9" s="88"/>
      <c r="C9" s="88"/>
      <c r="D9" s="88"/>
      <c r="E9" s="68"/>
      <c r="F9" s="68"/>
      <c r="G9" s="68"/>
      <c r="H9" s="68"/>
      <c r="I9" s="68"/>
      <c r="J9" s="68"/>
    </row>
    <row r="10" spans="1:13" ht="11.1" customHeight="1" x14ac:dyDescent="0.25">
      <c r="B10" s="7"/>
      <c r="C10" s="7"/>
      <c r="D10" s="7"/>
      <c r="E10" s="7"/>
      <c r="F10" s="7"/>
      <c r="G10" s="7"/>
      <c r="H10" s="7"/>
      <c r="I10" s="7"/>
      <c r="J10" s="7"/>
    </row>
    <row r="11" spans="1:13" x14ac:dyDescent="0.25">
      <c r="A11" s="88" t="s">
        <v>7</v>
      </c>
      <c r="B11" s="88"/>
      <c r="C11" s="88"/>
      <c r="D11" s="88"/>
      <c r="E11" s="68"/>
      <c r="F11" s="68"/>
      <c r="G11" s="68"/>
      <c r="H11" s="68"/>
      <c r="I11" s="68"/>
      <c r="J11" s="68"/>
    </row>
    <row r="12" spans="1:13" ht="12" customHeight="1" x14ac:dyDescent="0.25">
      <c r="A12" s="79"/>
      <c r="B12" s="79"/>
      <c r="C12" s="79"/>
      <c r="D12" s="79"/>
      <c r="E12" s="69"/>
      <c r="F12" s="69"/>
      <c r="G12" s="69"/>
      <c r="H12" s="69"/>
      <c r="I12" s="69"/>
      <c r="J12" s="69"/>
    </row>
    <row r="13" spans="1:13" x14ac:dyDescent="0.25">
      <c r="A13" s="88" t="s">
        <v>8</v>
      </c>
      <c r="B13" s="88"/>
      <c r="C13" s="88"/>
      <c r="D13" s="88"/>
      <c r="E13" s="68"/>
      <c r="F13" s="68"/>
      <c r="G13" s="68"/>
      <c r="H13" s="68"/>
      <c r="I13" s="68"/>
      <c r="J13" s="68"/>
    </row>
    <row r="14" spans="1:13" ht="9.6" customHeight="1" x14ac:dyDescent="0.25">
      <c r="A14" s="79"/>
      <c r="B14" s="79"/>
      <c r="C14" s="79"/>
      <c r="D14" s="79"/>
      <c r="E14" s="69"/>
      <c r="F14" s="69"/>
      <c r="G14" s="69"/>
      <c r="H14" s="69"/>
      <c r="I14" s="69"/>
      <c r="J14" s="69"/>
    </row>
    <row r="15" spans="1:13" x14ac:dyDescent="0.25">
      <c r="A15" s="88" t="s">
        <v>9</v>
      </c>
      <c r="B15" s="88"/>
      <c r="C15" s="88"/>
      <c r="D15" s="88"/>
      <c r="E15" s="68"/>
      <c r="F15" s="68"/>
      <c r="G15" s="68"/>
      <c r="H15" s="68"/>
      <c r="I15" s="68"/>
      <c r="J15" s="68"/>
    </row>
    <row r="16" spans="1:13" x14ac:dyDescent="0.25">
      <c r="B16" s="8"/>
      <c r="C16" s="8"/>
      <c r="D16" s="8"/>
      <c r="E16" s="8"/>
      <c r="F16" s="8"/>
      <c r="G16" s="8"/>
      <c r="H16" s="8"/>
      <c r="I16" s="8"/>
      <c r="J16" s="8"/>
    </row>
    <row r="17" spans="1:13" ht="27.2" customHeight="1" x14ac:dyDescent="0.25">
      <c r="A17" s="89" t="s">
        <v>10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18" customHeight="1" x14ac:dyDescent="0.25">
      <c r="A18" s="90"/>
      <c r="B18" s="90"/>
      <c r="C18" s="90"/>
      <c r="D18" s="90"/>
      <c r="E18" s="70"/>
      <c r="F18" s="70"/>
      <c r="G18" s="70"/>
      <c r="H18" s="70"/>
      <c r="I18" s="70"/>
      <c r="J18" s="70"/>
    </row>
    <row r="19" spans="1:13" s="78" customFormat="1" ht="99.75" customHeight="1" x14ac:dyDescent="0.25">
      <c r="A19" s="76" t="s">
        <v>11</v>
      </c>
      <c r="B19" s="73" t="s">
        <v>12</v>
      </c>
      <c r="C19" s="73" t="s">
        <v>13</v>
      </c>
      <c r="D19" s="74" t="s">
        <v>14</v>
      </c>
      <c r="E19" s="74" t="s">
        <v>15</v>
      </c>
      <c r="F19" s="74" t="s">
        <v>16</v>
      </c>
      <c r="G19" s="74" t="s">
        <v>17</v>
      </c>
      <c r="H19" s="74" t="s">
        <v>18</v>
      </c>
      <c r="I19" s="74" t="s">
        <v>19</v>
      </c>
      <c r="J19" s="74" t="s">
        <v>20</v>
      </c>
      <c r="K19" s="75" t="s">
        <v>179</v>
      </c>
      <c r="L19" s="74" t="s">
        <v>21</v>
      </c>
      <c r="M19" s="77" t="s">
        <v>22</v>
      </c>
    </row>
    <row r="20" spans="1:13" ht="31.5" x14ac:dyDescent="0.25">
      <c r="A20" s="9" t="s">
        <v>23</v>
      </c>
      <c r="B20" s="10" t="s">
        <v>24</v>
      </c>
      <c r="C20" s="11" t="s">
        <v>25</v>
      </c>
      <c r="D20" s="12">
        <f t="shared" ref="D20:J20" si="0">D22+D33+D39+D40+D43+D53</f>
        <v>476250.53000000009</v>
      </c>
      <c r="E20" s="12">
        <f t="shared" si="0"/>
        <v>80191.786360000013</v>
      </c>
      <c r="F20" s="12">
        <f t="shared" si="0"/>
        <v>66918.573359999995</v>
      </c>
      <c r="G20" s="12">
        <f t="shared" si="0"/>
        <v>64598.375359999998</v>
      </c>
      <c r="H20" s="12">
        <f t="shared" si="0"/>
        <v>53462.682359999992</v>
      </c>
      <c r="I20" s="12">
        <f t="shared" si="0"/>
        <v>13353.790360000001</v>
      </c>
      <c r="J20" s="12">
        <f t="shared" si="0"/>
        <v>16326.901360000002</v>
      </c>
      <c r="K20" s="13">
        <f>SUM(E20:J20)</f>
        <v>294852.10915999999</v>
      </c>
      <c r="L20" s="14">
        <f>K20/D20*100-100</f>
        <v>-38.08886487538399</v>
      </c>
      <c r="M20" s="65" t="s">
        <v>26</v>
      </c>
    </row>
    <row r="21" spans="1:13" ht="20.25" customHeight="1" x14ac:dyDescent="0.25">
      <c r="A21" s="15"/>
      <c r="B21" s="16" t="s">
        <v>27</v>
      </c>
      <c r="C21" s="17"/>
      <c r="D21" s="12"/>
      <c r="E21" s="12"/>
      <c r="F21" s="12"/>
      <c r="G21" s="12"/>
      <c r="H21" s="12"/>
      <c r="I21" s="12"/>
      <c r="J21" s="12"/>
      <c r="K21" s="18"/>
      <c r="L21" s="14"/>
      <c r="M21" s="65"/>
    </row>
    <row r="22" spans="1:13" ht="24.75" customHeight="1" x14ac:dyDescent="0.25">
      <c r="A22" s="19" t="s">
        <v>28</v>
      </c>
      <c r="B22" s="20" t="s">
        <v>29</v>
      </c>
      <c r="C22" s="11" t="s">
        <v>25</v>
      </c>
      <c r="D22" s="12">
        <f t="shared" ref="D22:K22" si="1">SUM(D24:D32)</f>
        <v>318296</v>
      </c>
      <c r="E22" s="12">
        <f t="shared" si="1"/>
        <v>64168.583000000006</v>
      </c>
      <c r="F22" s="12">
        <f t="shared" si="1"/>
        <v>52100.244000000006</v>
      </c>
      <c r="G22" s="12">
        <f t="shared" si="1"/>
        <v>49582.832999999999</v>
      </c>
      <c r="H22" s="12">
        <f t="shared" si="1"/>
        <v>37513.225999999995</v>
      </c>
      <c r="I22" s="12">
        <f t="shared" si="1"/>
        <v>462.31900000000002</v>
      </c>
      <c r="J22" s="12">
        <f t="shared" si="1"/>
        <v>261.26100000000002</v>
      </c>
      <c r="K22" s="12">
        <f t="shared" si="1"/>
        <v>207930.26435134001</v>
      </c>
      <c r="L22" s="14">
        <f>K22/D22*100-100</f>
        <v>-34.673931073170877</v>
      </c>
      <c r="M22" s="65" t="s">
        <v>26</v>
      </c>
    </row>
    <row r="23" spans="1:13" ht="20.25" customHeight="1" outlineLevel="1" x14ac:dyDescent="0.25">
      <c r="A23" s="15"/>
      <c r="B23" s="16" t="s">
        <v>27</v>
      </c>
      <c r="C23" s="17"/>
      <c r="D23" s="12"/>
      <c r="E23" s="12"/>
      <c r="F23" s="12"/>
      <c r="G23" s="12"/>
      <c r="H23" s="12"/>
      <c r="I23" s="12"/>
      <c r="J23" s="12"/>
      <c r="K23" s="18"/>
      <c r="L23" s="14"/>
      <c r="M23" s="66"/>
    </row>
    <row r="24" spans="1:13" ht="20.25" customHeight="1" outlineLevel="1" x14ac:dyDescent="0.25">
      <c r="A24" s="15" t="s">
        <v>30</v>
      </c>
      <c r="B24" s="16" t="s">
        <v>31</v>
      </c>
      <c r="C24" s="17" t="s">
        <v>25</v>
      </c>
      <c r="D24" s="21">
        <v>7159</v>
      </c>
      <c r="E24" s="21"/>
      <c r="F24" s="21"/>
      <c r="G24" s="21"/>
      <c r="H24" s="21"/>
      <c r="I24" s="21"/>
      <c r="J24" s="21"/>
      <c r="K24" s="22">
        <f>1098.779+19.656</f>
        <v>1118.4349999999999</v>
      </c>
      <c r="L24" s="23">
        <f>K24/D24*100-100</f>
        <v>-84.377217488476049</v>
      </c>
      <c r="M24" s="66" t="s">
        <v>26</v>
      </c>
    </row>
    <row r="25" spans="1:13" ht="20.25" customHeight="1" outlineLevel="1" x14ac:dyDescent="0.25">
      <c r="A25" s="15" t="s">
        <v>32</v>
      </c>
      <c r="B25" s="16" t="s">
        <v>33</v>
      </c>
      <c r="C25" s="17" t="s">
        <v>25</v>
      </c>
      <c r="D25" s="12"/>
      <c r="E25" s="12"/>
      <c r="F25" s="12"/>
      <c r="G25" s="12"/>
      <c r="H25" s="12"/>
      <c r="I25" s="12"/>
      <c r="J25" s="12"/>
      <c r="K25" s="18"/>
      <c r="L25" s="14"/>
      <c r="M25" s="66"/>
    </row>
    <row r="26" spans="1:13" s="24" customFormat="1" ht="20.25" customHeight="1" outlineLevel="1" x14ac:dyDescent="0.25">
      <c r="A26" s="15" t="s">
        <v>34</v>
      </c>
      <c r="B26" s="16" t="s">
        <v>35</v>
      </c>
      <c r="C26" s="17" t="s">
        <v>25</v>
      </c>
      <c r="D26" s="21">
        <v>6895.64</v>
      </c>
      <c r="E26" s="21">
        <v>6924.107</v>
      </c>
      <c r="F26" s="21"/>
      <c r="G26" s="21">
        <v>234.732</v>
      </c>
      <c r="H26" s="21"/>
      <c r="I26" s="21"/>
      <c r="J26" s="21"/>
      <c r="K26" s="22">
        <v>6811.8429999999998</v>
      </c>
      <c r="L26" s="23">
        <f>K26/D26*100-100</f>
        <v>-1.2152171517074635</v>
      </c>
      <c r="M26" s="66" t="s">
        <v>183</v>
      </c>
    </row>
    <row r="27" spans="1:13" ht="20.25" customHeight="1" outlineLevel="1" x14ac:dyDescent="0.25">
      <c r="A27" s="15" t="s">
        <v>36</v>
      </c>
      <c r="B27" s="16" t="s">
        <v>37</v>
      </c>
      <c r="C27" s="17" t="s">
        <v>25</v>
      </c>
      <c r="D27" s="21"/>
      <c r="E27" s="21"/>
      <c r="F27" s="21"/>
      <c r="G27" s="21"/>
      <c r="H27" s="21"/>
      <c r="I27" s="21"/>
      <c r="J27" s="21"/>
      <c r="K27" s="22"/>
      <c r="L27" s="23"/>
      <c r="M27" s="66"/>
    </row>
    <row r="28" spans="1:13" ht="20.25" customHeight="1" outlineLevel="1" x14ac:dyDescent="0.25">
      <c r="A28" s="15" t="s">
        <v>38</v>
      </c>
      <c r="B28" s="16" t="s">
        <v>39</v>
      </c>
      <c r="C28" s="17" t="s">
        <v>25</v>
      </c>
      <c r="D28" s="21">
        <v>85800</v>
      </c>
      <c r="E28" s="21">
        <v>13005.035</v>
      </c>
      <c r="F28" s="21">
        <v>11631.549000000001</v>
      </c>
      <c r="G28" s="21">
        <v>12934.25</v>
      </c>
      <c r="H28" s="21">
        <v>10396.986999999999</v>
      </c>
      <c r="I28" s="21">
        <v>462.31900000000002</v>
      </c>
      <c r="J28" s="21">
        <v>261.26100000000002</v>
      </c>
      <c r="K28" s="22">
        <f>(12338727.5+11291170+12349672.5+12063507.5+1239026.25+181940)/1000</f>
        <v>49464.043749999997</v>
      </c>
      <c r="L28" s="23">
        <f t="shared" ref="L28:L33" si="2">K28/D28*100-100</f>
        <v>-42.349599358974366</v>
      </c>
      <c r="M28" s="66" t="s">
        <v>26</v>
      </c>
    </row>
    <row r="29" spans="1:13" ht="19.5" customHeight="1" outlineLevel="1" x14ac:dyDescent="0.25">
      <c r="A29" s="15" t="s">
        <v>40</v>
      </c>
      <c r="B29" s="16" t="s">
        <v>41</v>
      </c>
      <c r="C29" s="17" t="s">
        <v>25</v>
      </c>
      <c r="D29" s="21">
        <v>161656.10999999999</v>
      </c>
      <c r="E29" s="21">
        <v>27554.753000000001</v>
      </c>
      <c r="F29" s="21">
        <v>26743.886999999999</v>
      </c>
      <c r="G29" s="21">
        <v>24129.044000000002</v>
      </c>
      <c r="H29" s="21">
        <v>19366.809000000001</v>
      </c>
      <c r="I29" s="21"/>
      <c r="J29" s="21"/>
      <c r="K29" s="22">
        <f>82471.629*1198.26/1000</f>
        <v>98822.454165539995</v>
      </c>
      <c r="L29" s="23">
        <f t="shared" si="2"/>
        <v>-38.868716953822528</v>
      </c>
      <c r="M29" s="66" t="s">
        <v>26</v>
      </c>
    </row>
    <row r="30" spans="1:13" ht="21" customHeight="1" outlineLevel="1" x14ac:dyDescent="0.25">
      <c r="A30" s="15" t="s">
        <v>42</v>
      </c>
      <c r="B30" s="25" t="s">
        <v>43</v>
      </c>
      <c r="C30" s="17" t="s">
        <v>25</v>
      </c>
      <c r="D30" s="21">
        <v>51049.3</v>
      </c>
      <c r="E30" s="21">
        <v>16025.242</v>
      </c>
      <c r="F30" s="21">
        <v>12806.906999999999</v>
      </c>
      <c r="G30" s="21">
        <v>11233.544</v>
      </c>
      <c r="H30" s="21">
        <v>6961.7950000000001</v>
      </c>
      <c r="I30" s="21"/>
      <c r="J30" s="21"/>
      <c r="K30" s="22">
        <f>39065.04*1198.26/1000</f>
        <v>46810.074830400001</v>
      </c>
      <c r="L30" s="23">
        <f t="shared" si="2"/>
        <v>-8.3041788420213436</v>
      </c>
      <c r="M30" s="66" t="s">
        <v>26</v>
      </c>
    </row>
    <row r="31" spans="1:13" s="24" customFormat="1" ht="20.25" customHeight="1" outlineLevel="1" x14ac:dyDescent="0.25">
      <c r="A31" s="15" t="s">
        <v>44</v>
      </c>
      <c r="B31" s="26" t="s">
        <v>45</v>
      </c>
      <c r="C31" s="17" t="s">
        <v>25</v>
      </c>
      <c r="D31" s="21">
        <v>818.57</v>
      </c>
      <c r="E31" s="21">
        <v>165.67500000000001</v>
      </c>
      <c r="F31" s="21">
        <v>152.80199999999999</v>
      </c>
      <c r="G31" s="21">
        <v>128.81299999999999</v>
      </c>
      <c r="H31" s="21">
        <v>36.679000000000002</v>
      </c>
      <c r="I31" s="21"/>
      <c r="J31" s="21"/>
      <c r="K31" s="22">
        <f>423.79*1198.26/1000</f>
        <v>507.81060539999999</v>
      </c>
      <c r="L31" s="23">
        <f t="shared" si="2"/>
        <v>-37.96369212162675</v>
      </c>
      <c r="M31" s="66" t="s">
        <v>26</v>
      </c>
    </row>
    <row r="32" spans="1:13" s="24" customFormat="1" ht="19.5" customHeight="1" outlineLevel="1" x14ac:dyDescent="0.25">
      <c r="A32" s="15" t="s">
        <v>46</v>
      </c>
      <c r="B32" s="16" t="s">
        <v>47</v>
      </c>
      <c r="C32" s="17" t="s">
        <v>25</v>
      </c>
      <c r="D32" s="21">
        <v>4917.38</v>
      </c>
      <c r="E32" s="21">
        <f>457.875+35.896</f>
        <v>493.77100000000002</v>
      </c>
      <c r="F32" s="21">
        <f>727.165+37.934</f>
        <v>765.09899999999993</v>
      </c>
      <c r="G32" s="21">
        <f>896.265+26.185</f>
        <v>922.44999999999993</v>
      </c>
      <c r="H32" s="21">
        <f>714.863+36.093</f>
        <v>750.95600000000002</v>
      </c>
      <c r="I32" s="21"/>
      <c r="J32" s="21"/>
      <c r="K32" s="22">
        <f>112.423+4283.18</f>
        <v>4395.6030000000001</v>
      </c>
      <c r="L32" s="23">
        <f t="shared" si="2"/>
        <v>-10.610874083353323</v>
      </c>
      <c r="M32" s="66" t="s">
        <v>26</v>
      </c>
    </row>
    <row r="33" spans="1:13" ht="20.25" customHeight="1" x14ac:dyDescent="0.25">
      <c r="A33" s="19" t="s">
        <v>48</v>
      </c>
      <c r="B33" s="20" t="s">
        <v>49</v>
      </c>
      <c r="C33" s="11" t="s">
        <v>25</v>
      </c>
      <c r="D33" s="12">
        <f>SUM(D35:D38)</f>
        <v>98532.45</v>
      </c>
      <c r="E33" s="12">
        <f t="shared" ref="E33:K33" si="3">SUM(E35:E38)</f>
        <v>10066.366999999998</v>
      </c>
      <c r="F33" s="12">
        <f t="shared" si="3"/>
        <v>8614.7310000000016</v>
      </c>
      <c r="G33" s="12">
        <f t="shared" si="3"/>
        <v>9032.5210000000006</v>
      </c>
      <c r="H33" s="12">
        <f t="shared" si="3"/>
        <v>8277.6630000000005</v>
      </c>
      <c r="I33" s="12">
        <f t="shared" si="3"/>
        <v>6974.6189999999997</v>
      </c>
      <c r="J33" s="12">
        <f t="shared" si="3"/>
        <v>7619.942</v>
      </c>
      <c r="K33" s="12">
        <f t="shared" si="3"/>
        <v>53671.537000000004</v>
      </c>
      <c r="L33" s="23">
        <f t="shared" si="2"/>
        <v>-45.529074939271275</v>
      </c>
      <c r="M33" s="80" t="s">
        <v>26</v>
      </c>
    </row>
    <row r="34" spans="1:13" ht="20.25" customHeight="1" outlineLevel="1" x14ac:dyDescent="0.25">
      <c r="A34" s="15"/>
      <c r="B34" s="16" t="s">
        <v>27</v>
      </c>
      <c r="C34" s="17"/>
      <c r="D34" s="12"/>
      <c r="E34" s="12"/>
      <c r="F34" s="12"/>
      <c r="G34" s="12"/>
      <c r="H34" s="12"/>
      <c r="I34" s="12"/>
      <c r="J34" s="12"/>
      <c r="K34" s="18"/>
      <c r="L34" s="23"/>
      <c r="M34" s="81"/>
    </row>
    <row r="35" spans="1:13" s="24" customFormat="1" ht="21" customHeight="1" outlineLevel="1" x14ac:dyDescent="0.25">
      <c r="A35" s="15" t="s">
        <v>50</v>
      </c>
      <c r="B35" s="25" t="s">
        <v>51</v>
      </c>
      <c r="C35" s="17" t="s">
        <v>25</v>
      </c>
      <c r="D35" s="21">
        <v>89219.82</v>
      </c>
      <c r="E35" s="21">
        <f>8881.31+246.633</f>
        <v>9127.9429999999993</v>
      </c>
      <c r="F35" s="21">
        <f>7685.697+127.68</f>
        <v>7813.3770000000004</v>
      </c>
      <c r="G35" s="21">
        <f>8118.065+68.006</f>
        <v>8186.0709999999999</v>
      </c>
      <c r="H35" s="21">
        <f>7382.79+122.967</f>
        <v>7505.7569999999996</v>
      </c>
      <c r="I35" s="21">
        <f>6156.771+166.769</f>
        <v>6323.54</v>
      </c>
      <c r="J35" s="21">
        <f>6754.74+146.631</f>
        <v>6901.3710000000001</v>
      </c>
      <c r="K35" s="22">
        <f>48082.961+591.082</f>
        <v>48674.043000000005</v>
      </c>
      <c r="L35" s="23">
        <f t="shared" ref="L35:L41" si="4">K35/D35*100-100</f>
        <v>-45.444809236333363</v>
      </c>
      <c r="M35" s="81"/>
    </row>
    <row r="36" spans="1:13" s="24" customFormat="1" ht="20.25" customHeight="1" outlineLevel="1" x14ac:dyDescent="0.25">
      <c r="A36" s="15" t="s">
        <v>52</v>
      </c>
      <c r="B36" s="16" t="s">
        <v>53</v>
      </c>
      <c r="C36" s="17" t="s">
        <v>25</v>
      </c>
      <c r="D36" s="21">
        <v>7628.29</v>
      </c>
      <c r="E36" s="21">
        <f>262.379+526.871</f>
        <v>789.25</v>
      </c>
      <c r="F36" s="21">
        <f>222.273+452.963</f>
        <v>675.23599999999999</v>
      </c>
      <c r="G36" s="21">
        <f>242.879+463.16</f>
        <v>706.03899999999999</v>
      </c>
      <c r="H36" s="21">
        <f>214.475+434.642</f>
        <v>649.11699999999996</v>
      </c>
      <c r="I36" s="21">
        <f>193.405+349.589</f>
        <v>542.99400000000003</v>
      </c>
      <c r="J36" s="21">
        <f>210.851+383.717</f>
        <v>594.56799999999998</v>
      </c>
      <c r="K36" s="22">
        <f>1460.338+2729.118</f>
        <v>4189.4560000000001</v>
      </c>
      <c r="L36" s="23">
        <f t="shared" si="4"/>
        <v>-45.080011378696923</v>
      </c>
      <c r="M36" s="81"/>
    </row>
    <row r="37" spans="1:13" s="24" customFormat="1" ht="20.25" customHeight="1" outlineLevel="1" x14ac:dyDescent="0.25">
      <c r="A37" s="15" t="s">
        <v>54</v>
      </c>
      <c r="B37" s="16" t="s">
        <v>55</v>
      </c>
      <c r="C37" s="17" t="s">
        <v>25</v>
      </c>
      <c r="D37" s="21">
        <v>346.04</v>
      </c>
      <c r="E37" s="21">
        <v>28.917999999999999</v>
      </c>
      <c r="F37" s="21">
        <v>24.137</v>
      </c>
      <c r="G37" s="21">
        <v>28.62</v>
      </c>
      <c r="H37" s="21">
        <v>24.361000000000001</v>
      </c>
      <c r="I37" s="21">
        <f>18.688</f>
        <v>18.687999999999999</v>
      </c>
      <c r="J37" s="21">
        <v>27.516999999999999</v>
      </c>
      <c r="K37" s="22">
        <v>157.65799999999999</v>
      </c>
      <c r="L37" s="23">
        <f t="shared" si="4"/>
        <v>-54.4393711709629</v>
      </c>
      <c r="M37" s="81"/>
    </row>
    <row r="38" spans="1:13" s="24" customFormat="1" ht="19.5" customHeight="1" outlineLevel="1" x14ac:dyDescent="0.25">
      <c r="A38" s="15" t="s">
        <v>56</v>
      </c>
      <c r="B38" s="16" t="s">
        <v>57</v>
      </c>
      <c r="C38" s="17" t="s">
        <v>25</v>
      </c>
      <c r="D38" s="21">
        <v>1338.3</v>
      </c>
      <c r="E38" s="21">
        <v>120.256</v>
      </c>
      <c r="F38" s="21">
        <v>101.98099999999999</v>
      </c>
      <c r="G38" s="21">
        <v>111.791</v>
      </c>
      <c r="H38" s="21">
        <v>98.427999999999997</v>
      </c>
      <c r="I38" s="21">
        <v>89.397000000000006</v>
      </c>
      <c r="J38" s="21">
        <v>96.486000000000004</v>
      </c>
      <c r="K38" s="22">
        <v>650.38</v>
      </c>
      <c r="L38" s="23">
        <f t="shared" si="4"/>
        <v>-51.402525592169169</v>
      </c>
      <c r="M38" s="82"/>
    </row>
    <row r="39" spans="1:13" ht="27" customHeight="1" x14ac:dyDescent="0.25">
      <c r="A39" s="19" t="s">
        <v>58</v>
      </c>
      <c r="B39" s="28" t="s">
        <v>59</v>
      </c>
      <c r="C39" s="11" t="s">
        <v>25</v>
      </c>
      <c r="D39" s="14">
        <v>35343.9</v>
      </c>
      <c r="E39" s="14">
        <f>5528.053</f>
        <v>5528.0529999999999</v>
      </c>
      <c r="F39" s="14">
        <v>5528.0529999999999</v>
      </c>
      <c r="G39" s="14">
        <v>5527.9920000000002</v>
      </c>
      <c r="H39" s="14">
        <v>5527.9920000000002</v>
      </c>
      <c r="I39" s="14">
        <v>5533.57</v>
      </c>
      <c r="J39" s="14">
        <v>5548.5879999999997</v>
      </c>
      <c r="K39" s="27">
        <f>SUM(E39:J39)</f>
        <v>33194.247999999992</v>
      </c>
      <c r="L39" s="14">
        <f t="shared" si="4"/>
        <v>-6.0821018619903526</v>
      </c>
      <c r="M39" s="30" t="s">
        <v>26</v>
      </c>
    </row>
    <row r="40" spans="1:13" ht="24.75" customHeight="1" x14ac:dyDescent="0.25">
      <c r="A40" s="19" t="s">
        <v>60</v>
      </c>
      <c r="B40" s="20" t="s">
        <v>61</v>
      </c>
      <c r="C40" s="11" t="s">
        <v>25</v>
      </c>
      <c r="D40" s="12">
        <f>D41+D42</f>
        <v>16619.72</v>
      </c>
      <c r="E40" s="12">
        <f t="shared" ref="E40:K40" si="5">E41+E42</f>
        <v>216.346</v>
      </c>
      <c r="F40" s="12">
        <f t="shared" si="5"/>
        <v>471.42999999999995</v>
      </c>
      <c r="G40" s="12">
        <f t="shared" si="5"/>
        <v>241.53</v>
      </c>
      <c r="H40" s="12">
        <f t="shared" si="5"/>
        <v>1039.665</v>
      </c>
      <c r="I40" s="12">
        <f t="shared" si="5"/>
        <v>170.16200000000001</v>
      </c>
      <c r="J40" s="12">
        <f t="shared" si="5"/>
        <v>2696.4749999999999</v>
      </c>
      <c r="K40" s="12">
        <f t="shared" si="5"/>
        <v>11265.290999999999</v>
      </c>
      <c r="L40" s="23">
        <f t="shared" si="4"/>
        <v>-32.217323757560308</v>
      </c>
      <c r="M40" s="80" t="s">
        <v>62</v>
      </c>
    </row>
    <row r="41" spans="1:13" s="24" customFormat="1" ht="20.25" customHeight="1" outlineLevel="1" x14ac:dyDescent="0.25">
      <c r="A41" s="29" t="s">
        <v>63</v>
      </c>
      <c r="B41" s="25" t="s">
        <v>64</v>
      </c>
      <c r="C41" s="17" t="s">
        <v>25</v>
      </c>
      <c r="D41" s="21">
        <v>16619.72</v>
      </c>
      <c r="E41" s="21">
        <f>87.334+17.9+111.112</f>
        <v>216.346</v>
      </c>
      <c r="F41" s="21">
        <f>360.318+111.112</f>
        <v>471.42999999999995</v>
      </c>
      <c r="G41" s="21">
        <f>123.135+0.6+2.983+3.7+111.112</f>
        <v>241.53</v>
      </c>
      <c r="H41" s="21">
        <f>52.461+93.334+422.246+28.835+442.789</f>
        <v>1039.665</v>
      </c>
      <c r="I41" s="21">
        <f>93.334+76.828</f>
        <v>170.16200000000001</v>
      </c>
      <c r="J41" s="21">
        <f>176.497+93.334+66.778+5.25+1673.045</f>
        <v>2014.904</v>
      </c>
      <c r="K41" s="22">
        <f>285.263+90+27.13+300.442+10001.626+113.446+447.384</f>
        <v>11265.290999999999</v>
      </c>
      <c r="L41" s="23">
        <f t="shared" si="4"/>
        <v>-32.217323757560308</v>
      </c>
      <c r="M41" s="82"/>
    </row>
    <row r="42" spans="1:13" ht="31.5" customHeight="1" outlineLevel="1" x14ac:dyDescent="0.25">
      <c r="A42" s="29" t="s">
        <v>65</v>
      </c>
      <c r="B42" s="25" t="s">
        <v>66</v>
      </c>
      <c r="C42" s="17" t="s">
        <v>25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21">
        <v>681.57100000000003</v>
      </c>
      <c r="K42" s="22"/>
      <c r="L42" s="23" t="s">
        <v>67</v>
      </c>
      <c r="M42" s="66"/>
    </row>
    <row r="43" spans="1:13" ht="34.5" customHeight="1" outlineLevel="1" x14ac:dyDescent="0.25">
      <c r="A43" s="9" t="s">
        <v>68</v>
      </c>
      <c r="B43" s="10" t="s">
        <v>69</v>
      </c>
      <c r="C43" s="11" t="s">
        <v>25</v>
      </c>
      <c r="D43" s="12">
        <f t="shared" ref="D43" si="6">SUM(D44:D52)</f>
        <v>5158.45</v>
      </c>
      <c r="E43" s="12">
        <f t="shared" ref="E43" si="7">SUM(E44:E52)</f>
        <v>212.43736000000001</v>
      </c>
      <c r="F43" s="12">
        <f t="shared" ref="F43" si="8">SUM(F44:F52)</f>
        <v>204.11536000000001</v>
      </c>
      <c r="G43" s="12">
        <f t="shared" ref="G43" si="9">SUM(G44:G52)</f>
        <v>213.49936</v>
      </c>
      <c r="H43" s="12">
        <f t="shared" ref="H43" si="10">SUM(H44:H52)</f>
        <v>1104.13636</v>
      </c>
      <c r="I43" s="12">
        <f t="shared" ref="I43" si="11">SUM(I44:I52)</f>
        <v>213.12036000000001</v>
      </c>
      <c r="J43" s="12">
        <f t="shared" ref="J43" si="12">SUM(J44:J52)</f>
        <v>200.63535999999996</v>
      </c>
      <c r="K43" s="12">
        <f t="shared" ref="K43" si="13">SUM(K44:K52)</f>
        <v>1620.3710000000001</v>
      </c>
      <c r="L43" s="14">
        <f t="shared" ref="L43:L53" si="14">K43/D43*100-100</f>
        <v>-68.588025472767981</v>
      </c>
      <c r="M43" s="30" t="s">
        <v>26</v>
      </c>
    </row>
    <row r="44" spans="1:13" ht="21" customHeight="1" outlineLevel="1" x14ac:dyDescent="0.25">
      <c r="A44" s="29" t="s">
        <v>70</v>
      </c>
      <c r="B44" s="31" t="s">
        <v>71</v>
      </c>
      <c r="C44" s="17" t="s">
        <v>25</v>
      </c>
      <c r="D44" s="21">
        <v>287.75</v>
      </c>
      <c r="E44" s="21"/>
      <c r="F44" s="21"/>
      <c r="G44" s="21"/>
      <c r="H44" s="21"/>
      <c r="I44" s="21"/>
      <c r="J44" s="21"/>
      <c r="K44" s="22">
        <v>50</v>
      </c>
      <c r="L44" s="23">
        <f t="shared" si="14"/>
        <v>-82.623805386620333</v>
      </c>
      <c r="M44" s="62" t="s">
        <v>26</v>
      </c>
    </row>
    <row r="45" spans="1:13" ht="30.75" customHeight="1" outlineLevel="1" x14ac:dyDescent="0.25">
      <c r="A45" s="29" t="s">
        <v>72</v>
      </c>
      <c r="B45" s="25" t="s">
        <v>73</v>
      </c>
      <c r="C45" s="17" t="s">
        <v>25</v>
      </c>
      <c r="D45" s="21">
        <v>210</v>
      </c>
      <c r="E45" s="21"/>
      <c r="F45" s="21"/>
      <c r="G45" s="21"/>
      <c r="H45" s="21"/>
      <c r="I45" s="21"/>
      <c r="J45" s="21"/>
      <c r="K45" s="22"/>
      <c r="L45" s="23">
        <f t="shared" si="14"/>
        <v>-100</v>
      </c>
      <c r="M45" s="71" t="s">
        <v>184</v>
      </c>
    </row>
    <row r="46" spans="1:13" ht="30.75" customHeight="1" outlineLevel="1" x14ac:dyDescent="0.25">
      <c r="A46" s="29" t="s">
        <v>74</v>
      </c>
      <c r="B46" s="31" t="s">
        <v>75</v>
      </c>
      <c r="C46" s="17" t="s">
        <v>25</v>
      </c>
      <c r="D46" s="21">
        <v>492.11</v>
      </c>
      <c r="E46" s="21"/>
      <c r="F46" s="21"/>
      <c r="G46" s="21"/>
      <c r="H46" s="21"/>
      <c r="I46" s="21"/>
      <c r="J46" s="21"/>
      <c r="K46" s="22"/>
      <c r="L46" s="23">
        <f t="shared" si="14"/>
        <v>-100</v>
      </c>
      <c r="M46" s="71" t="s">
        <v>184</v>
      </c>
    </row>
    <row r="47" spans="1:13" ht="21" customHeight="1" outlineLevel="1" x14ac:dyDescent="0.25">
      <c r="A47" s="29" t="s">
        <v>76</v>
      </c>
      <c r="B47" s="32" t="s">
        <v>78</v>
      </c>
      <c r="C47" s="33" t="s">
        <v>25</v>
      </c>
      <c r="D47" s="34">
        <v>1656.42</v>
      </c>
      <c r="E47" s="34">
        <f>44.281+36.528</f>
        <v>80.808999999999997</v>
      </c>
      <c r="F47" s="34">
        <f>44.281+24.598</f>
        <v>68.878999999999991</v>
      </c>
      <c r="G47" s="34">
        <f>44.281+36.264</f>
        <v>80.545000000000002</v>
      </c>
      <c r="H47" s="34">
        <f>44.281+36.268</f>
        <v>80.549000000000007</v>
      </c>
      <c r="I47" s="34">
        <f>36.416+44.281</f>
        <v>80.697000000000003</v>
      </c>
      <c r="J47" s="34">
        <f>44.281+36.259</f>
        <v>80.539999999999992</v>
      </c>
      <c r="K47" s="22">
        <f>262.804+242.753+132.27+62.5</f>
        <v>700.327</v>
      </c>
      <c r="L47" s="23">
        <f t="shared" si="14"/>
        <v>-57.720445297690205</v>
      </c>
      <c r="M47" s="62" t="s">
        <v>26</v>
      </c>
    </row>
    <row r="48" spans="1:13" ht="21" customHeight="1" outlineLevel="1" x14ac:dyDescent="0.25">
      <c r="A48" s="29" t="s">
        <v>77</v>
      </c>
      <c r="B48" s="31" t="s">
        <v>80</v>
      </c>
      <c r="C48" s="36" t="s">
        <v>25</v>
      </c>
      <c r="D48" s="21">
        <v>134.63999999999999</v>
      </c>
      <c r="E48" s="21">
        <v>14.292999999999999</v>
      </c>
      <c r="F48" s="21">
        <v>17.067</v>
      </c>
      <c r="G48" s="21">
        <v>14.785</v>
      </c>
      <c r="H48" s="21">
        <v>15.417999999999999</v>
      </c>
      <c r="I48" s="21">
        <v>14.254</v>
      </c>
      <c r="J48" s="21">
        <v>14.689</v>
      </c>
      <c r="K48" s="22">
        <v>95.691999999999993</v>
      </c>
      <c r="L48" s="35">
        <f>K47/D47*100-100</f>
        <v>-57.720445297690205</v>
      </c>
      <c r="M48" s="62" t="s">
        <v>26</v>
      </c>
    </row>
    <row r="49" spans="1:14" ht="21" customHeight="1" outlineLevel="1" x14ac:dyDescent="0.25">
      <c r="A49" s="29" t="s">
        <v>79</v>
      </c>
      <c r="B49" s="26" t="s">
        <v>82</v>
      </c>
      <c r="C49" s="17" t="s">
        <v>25</v>
      </c>
      <c r="D49" s="21">
        <v>283.20999999999998</v>
      </c>
      <c r="E49" s="21">
        <f>18.603+4.147</f>
        <v>22.75</v>
      </c>
      <c r="F49" s="21">
        <f>19.106+4.478</f>
        <v>23.584000000000003</v>
      </c>
      <c r="G49" s="21">
        <f>19.106+4.478</f>
        <v>23.584000000000003</v>
      </c>
      <c r="H49" s="21">
        <f>19.106+4.478</f>
        <v>23.584000000000003</v>
      </c>
      <c r="I49" s="21">
        <f>19.106+4.478</f>
        <v>23.584000000000003</v>
      </c>
      <c r="J49" s="21">
        <v>1</v>
      </c>
      <c r="K49" s="22">
        <f>124.835+41.792</f>
        <v>166.62700000000001</v>
      </c>
      <c r="L49" s="23">
        <f>K48/D48*100-100</f>
        <v>-28.927510398098633</v>
      </c>
      <c r="M49" s="62" t="s">
        <v>26</v>
      </c>
    </row>
    <row r="50" spans="1:14" ht="23.25" customHeight="1" outlineLevel="1" x14ac:dyDescent="0.25">
      <c r="A50" s="29" t="s">
        <v>81</v>
      </c>
      <c r="B50" s="25" t="s">
        <v>84</v>
      </c>
      <c r="C50" s="17" t="s">
        <v>25</v>
      </c>
      <c r="D50" s="21">
        <v>1133.6099999999999</v>
      </c>
      <c r="E50" s="21">
        <f t="shared" ref="E50:J50" si="15">94585.36/1000</f>
        <v>94.585359999999994</v>
      </c>
      <c r="F50" s="21">
        <f t="shared" si="15"/>
        <v>94.585359999999994</v>
      </c>
      <c r="G50" s="21">
        <f t="shared" si="15"/>
        <v>94.585359999999994</v>
      </c>
      <c r="H50" s="21">
        <f t="shared" si="15"/>
        <v>94.585359999999994</v>
      </c>
      <c r="I50" s="21">
        <f t="shared" si="15"/>
        <v>94.585359999999994</v>
      </c>
      <c r="J50" s="21">
        <f t="shared" si="15"/>
        <v>94.585359999999994</v>
      </c>
      <c r="K50" s="22">
        <v>607.72500000000002</v>
      </c>
      <c r="L50" s="23">
        <f>K49/D49*100-100</f>
        <v>-41.164859997881422</v>
      </c>
      <c r="M50" s="62" t="s">
        <v>26</v>
      </c>
    </row>
    <row r="51" spans="1:14" ht="30" customHeight="1" outlineLevel="1" x14ac:dyDescent="0.25">
      <c r="A51" s="29" t="s">
        <v>83</v>
      </c>
      <c r="B51" s="31" t="s">
        <v>86</v>
      </c>
      <c r="C51" s="17" t="s">
        <v>25</v>
      </c>
      <c r="D51" s="21">
        <v>70.709999999999994</v>
      </c>
      <c r="E51" s="21"/>
      <c r="F51" s="21"/>
      <c r="G51" s="21"/>
      <c r="H51" s="21"/>
      <c r="I51" s="21"/>
      <c r="J51" s="21">
        <v>9.8209999999999997</v>
      </c>
      <c r="K51" s="22"/>
      <c r="L51" s="23">
        <f>K50/D50*100-100</f>
        <v>-46.390292957895561</v>
      </c>
      <c r="M51" s="71" t="s">
        <v>184</v>
      </c>
    </row>
    <row r="52" spans="1:14" ht="30" customHeight="1" outlineLevel="1" x14ac:dyDescent="0.25">
      <c r="A52" s="29" t="s">
        <v>85</v>
      </c>
      <c r="B52" s="31" t="s">
        <v>87</v>
      </c>
      <c r="C52" s="17" t="s">
        <v>25</v>
      </c>
      <c r="D52" s="21">
        <v>890</v>
      </c>
      <c r="E52" s="21"/>
      <c r="F52" s="21"/>
      <c r="G52" s="21"/>
      <c r="H52" s="21">
        <v>890</v>
      </c>
      <c r="I52" s="21"/>
      <c r="J52" s="21"/>
      <c r="K52" s="22"/>
      <c r="L52" s="23">
        <f>K51/D51*100-100</f>
        <v>-100</v>
      </c>
      <c r="M52" s="71" t="s">
        <v>184</v>
      </c>
    </row>
    <row r="53" spans="1:14" ht="19.5" customHeight="1" x14ac:dyDescent="0.25">
      <c r="A53" s="9" t="s">
        <v>88</v>
      </c>
      <c r="B53" s="10" t="s">
        <v>89</v>
      </c>
      <c r="C53" s="11" t="s">
        <v>25</v>
      </c>
      <c r="D53" s="12">
        <f>SUM(D55:D57)</f>
        <v>2300.0099999999998</v>
      </c>
      <c r="E53" s="12">
        <f t="shared" ref="E53:K53" si="16">SUM(E55:E57)</f>
        <v>0</v>
      </c>
      <c r="F53" s="12">
        <f t="shared" si="16"/>
        <v>0</v>
      </c>
      <c r="G53" s="12">
        <f t="shared" si="16"/>
        <v>0</v>
      </c>
      <c r="H53" s="12">
        <f t="shared" si="16"/>
        <v>0</v>
      </c>
      <c r="I53" s="12">
        <f t="shared" si="16"/>
        <v>0</v>
      </c>
      <c r="J53" s="12">
        <f t="shared" si="16"/>
        <v>0</v>
      </c>
      <c r="K53" s="12">
        <f t="shared" si="16"/>
        <v>2712.866</v>
      </c>
      <c r="L53" s="14">
        <f t="shared" si="14"/>
        <v>17.950182825292089</v>
      </c>
      <c r="M53" s="66"/>
    </row>
    <row r="54" spans="1:14" ht="19.5" customHeight="1" outlineLevel="1" x14ac:dyDescent="0.25">
      <c r="A54" s="29"/>
      <c r="B54" s="25" t="s">
        <v>27</v>
      </c>
      <c r="C54" s="17"/>
      <c r="D54" s="12"/>
      <c r="E54" s="12"/>
      <c r="F54" s="12"/>
      <c r="G54" s="12"/>
      <c r="H54" s="12"/>
      <c r="I54" s="12"/>
      <c r="J54" s="12"/>
      <c r="K54" s="18"/>
      <c r="L54" s="14"/>
      <c r="M54" s="66"/>
    </row>
    <row r="55" spans="1:14" s="40" customFormat="1" ht="28.5" customHeight="1" outlineLevel="1" x14ac:dyDescent="0.25">
      <c r="A55" s="29" t="s">
        <v>90</v>
      </c>
      <c r="B55" s="37" t="s">
        <v>91</v>
      </c>
      <c r="C55" s="38" t="s">
        <v>25</v>
      </c>
      <c r="D55" s="39">
        <v>1999.78</v>
      </c>
      <c r="E55" s="39"/>
      <c r="F55" s="39"/>
      <c r="G55" s="39"/>
      <c r="H55" s="39"/>
      <c r="I55" s="39"/>
      <c r="J55" s="39"/>
      <c r="K55" s="22">
        <f>2269.913-1.392-0.682-1.567-5.353-1.293</f>
        <v>2259.6260000000002</v>
      </c>
      <c r="L55" s="23">
        <f>K55/D55*100-100</f>
        <v>12.99372931022414</v>
      </c>
      <c r="M55" s="62" t="s">
        <v>181</v>
      </c>
    </row>
    <row r="56" spans="1:14" s="24" customFormat="1" ht="23.25" customHeight="1" outlineLevel="1" x14ac:dyDescent="0.25">
      <c r="A56" s="29" t="s">
        <v>92</v>
      </c>
      <c r="B56" s="41" t="s">
        <v>94</v>
      </c>
      <c r="C56" s="38" t="s">
        <v>25</v>
      </c>
      <c r="D56" s="39">
        <v>151.47999999999999</v>
      </c>
      <c r="E56" s="39"/>
      <c r="F56" s="39"/>
      <c r="G56" s="39"/>
      <c r="H56" s="39"/>
      <c r="I56" s="39"/>
      <c r="J56" s="39"/>
      <c r="K56" s="22">
        <f>69.46+38.571+114+21.44+39.361</f>
        <v>282.83199999999999</v>
      </c>
      <c r="L56" s="23">
        <f>K56/D56*100-100</f>
        <v>86.71243728545025</v>
      </c>
      <c r="M56" s="62" t="s">
        <v>26</v>
      </c>
    </row>
    <row r="57" spans="1:14" s="24" customFormat="1" ht="39" outlineLevel="1" x14ac:dyDescent="0.25">
      <c r="A57" s="29" t="s">
        <v>93</v>
      </c>
      <c r="B57" s="41" t="s">
        <v>95</v>
      </c>
      <c r="C57" s="38" t="s">
        <v>25</v>
      </c>
      <c r="D57" s="39">
        <v>148.75</v>
      </c>
      <c r="E57" s="39"/>
      <c r="F57" s="39"/>
      <c r="G57" s="39"/>
      <c r="H57" s="39"/>
      <c r="I57" s="39"/>
      <c r="J57" s="39"/>
      <c r="K57" s="22">
        <f>73.571+14.062+38.4+44.375</f>
        <v>170.40799999999999</v>
      </c>
      <c r="L57" s="23">
        <f>K57/D57*100-100</f>
        <v>14.560000000000002</v>
      </c>
      <c r="M57" s="42" t="s">
        <v>96</v>
      </c>
    </row>
    <row r="58" spans="1:14" ht="28.5" customHeight="1" x14ac:dyDescent="0.25">
      <c r="A58" s="19" t="s">
        <v>97</v>
      </c>
      <c r="B58" s="20" t="s">
        <v>98</v>
      </c>
      <c r="C58" s="11" t="s">
        <v>25</v>
      </c>
      <c r="D58" s="12">
        <f>SUM(D59)</f>
        <v>48788.44</v>
      </c>
      <c r="E58" s="12">
        <f t="shared" ref="E58:K58" si="17">SUM(E59)</f>
        <v>4043.1790000000001</v>
      </c>
      <c r="F58" s="12">
        <f t="shared" si="17"/>
        <v>5790.6709999999994</v>
      </c>
      <c r="G58" s="12">
        <f t="shared" si="17"/>
        <v>3215.114</v>
      </c>
      <c r="H58" s="12">
        <f t="shared" si="17"/>
        <v>4896.9129999999996</v>
      </c>
      <c r="I58" s="12">
        <f t="shared" si="17"/>
        <v>5863.4470000000001</v>
      </c>
      <c r="J58" s="12">
        <f t="shared" si="17"/>
        <v>3060.8319999999999</v>
      </c>
      <c r="K58" s="12">
        <f t="shared" si="17"/>
        <v>26281.300999999999</v>
      </c>
      <c r="L58" s="14">
        <f>K58/D58*100-100</f>
        <v>-46.132114492695408</v>
      </c>
      <c r="M58" s="30" t="s">
        <v>26</v>
      </c>
    </row>
    <row r="59" spans="1:14" ht="32.25" customHeight="1" x14ac:dyDescent="0.25">
      <c r="A59" s="19" t="s">
        <v>99</v>
      </c>
      <c r="B59" s="20" t="s">
        <v>100</v>
      </c>
      <c r="C59" s="11" t="s">
        <v>25</v>
      </c>
      <c r="D59" s="12">
        <f>SUM(D61:D65)</f>
        <v>48788.44</v>
      </c>
      <c r="E59" s="12">
        <f t="shared" ref="E59:K59" si="18">SUM(E61:E65)</f>
        <v>4043.1790000000001</v>
      </c>
      <c r="F59" s="12">
        <f t="shared" si="18"/>
        <v>5790.6709999999994</v>
      </c>
      <c r="G59" s="12">
        <f t="shared" si="18"/>
        <v>3215.114</v>
      </c>
      <c r="H59" s="12">
        <f t="shared" si="18"/>
        <v>4896.9129999999996</v>
      </c>
      <c r="I59" s="12">
        <f t="shared" si="18"/>
        <v>5863.4470000000001</v>
      </c>
      <c r="J59" s="12">
        <f t="shared" si="18"/>
        <v>3060.8319999999999</v>
      </c>
      <c r="K59" s="12">
        <f t="shared" si="18"/>
        <v>26281.300999999999</v>
      </c>
      <c r="L59" s="14">
        <f>K59/D59*100-100</f>
        <v>-46.132114492695408</v>
      </c>
      <c r="M59" s="30" t="s">
        <v>26</v>
      </c>
    </row>
    <row r="60" spans="1:14" ht="21.75" customHeight="1" outlineLevel="1" x14ac:dyDescent="0.25">
      <c r="A60" s="15"/>
      <c r="B60" s="16" t="s">
        <v>27</v>
      </c>
      <c r="C60" s="17"/>
      <c r="D60" s="12"/>
      <c r="E60" s="12"/>
      <c r="F60" s="12"/>
      <c r="G60" s="12"/>
      <c r="H60" s="12"/>
      <c r="I60" s="12"/>
      <c r="J60" s="12"/>
      <c r="K60" s="18"/>
      <c r="L60" s="14"/>
      <c r="M60" s="66"/>
    </row>
    <row r="61" spans="1:14" s="24" customFormat="1" ht="21.75" customHeight="1" outlineLevel="1" x14ac:dyDescent="0.25">
      <c r="A61" s="29" t="s">
        <v>101</v>
      </c>
      <c r="B61" s="25" t="s">
        <v>102</v>
      </c>
      <c r="C61" s="17" t="s">
        <v>25</v>
      </c>
      <c r="D61" s="21">
        <v>27199.79</v>
      </c>
      <c r="E61" s="21">
        <f>2370.829+31.621</f>
        <v>2402.4500000000003</v>
      </c>
      <c r="F61" s="21">
        <f>2124.663</f>
        <v>2124.663</v>
      </c>
      <c r="G61" s="21">
        <f>2248.497+60.225</f>
        <v>2308.7219999999998</v>
      </c>
      <c r="H61" s="21">
        <f>2669.025+32.473</f>
        <v>2701.498</v>
      </c>
      <c r="I61" s="21">
        <f>2018.062+33.529</f>
        <v>2051.5909999999999</v>
      </c>
      <c r="J61" s="21">
        <f>2070.136</f>
        <v>2070.136</v>
      </c>
      <c r="K61" s="22">
        <f>14369.204+65.585</f>
        <v>14434.788999999999</v>
      </c>
      <c r="L61" s="23">
        <f>K61/D61*100-100</f>
        <v>-46.930513066461174</v>
      </c>
      <c r="M61" s="80" t="s">
        <v>26</v>
      </c>
    </row>
    <row r="62" spans="1:14" ht="21.75" customHeight="1" outlineLevel="1" x14ac:dyDescent="0.25">
      <c r="A62" s="29" t="s">
        <v>103</v>
      </c>
      <c r="B62" s="16" t="s">
        <v>53</v>
      </c>
      <c r="C62" s="17" t="s">
        <v>25</v>
      </c>
      <c r="D62" s="21">
        <v>2325.58</v>
      </c>
      <c r="E62" s="21">
        <f>141.267+68.427</f>
        <v>209.69400000000002</v>
      </c>
      <c r="F62" s="21">
        <f>123.158+60.453</f>
        <v>183.61099999999999</v>
      </c>
      <c r="G62" s="21">
        <f>133.097+66.252</f>
        <v>199.34899999999999</v>
      </c>
      <c r="H62" s="21">
        <f>168.425+67.777</f>
        <v>236.202</v>
      </c>
      <c r="I62" s="21">
        <f>113.012+62.4</f>
        <v>175.41200000000001</v>
      </c>
      <c r="J62" s="21">
        <f>65.208+111.79</f>
        <v>176.99799999999999</v>
      </c>
      <c r="K62" s="22">
        <f>454.694+779.48</f>
        <v>1234.174</v>
      </c>
      <c r="L62" s="23">
        <f t="shared" ref="L62:L82" si="19">K62/D62*100-100</f>
        <v>-46.930486158291693</v>
      </c>
      <c r="M62" s="81"/>
      <c r="N62" s="43"/>
    </row>
    <row r="63" spans="1:14" ht="21.75" customHeight="1" outlineLevel="1" x14ac:dyDescent="0.25">
      <c r="A63" s="29" t="s">
        <v>104</v>
      </c>
      <c r="B63" s="16" t="s">
        <v>57</v>
      </c>
      <c r="C63" s="17" t="s">
        <v>25</v>
      </c>
      <c r="D63" s="21">
        <v>408</v>
      </c>
      <c r="E63" s="21">
        <v>32.585000000000001</v>
      </c>
      <c r="F63" s="21">
        <v>28.789000000000001</v>
      </c>
      <c r="G63" s="21">
        <v>31.548999999999999</v>
      </c>
      <c r="H63" s="21">
        <v>32.274000000000001</v>
      </c>
      <c r="I63" s="21">
        <v>30.47</v>
      </c>
      <c r="J63" s="21">
        <v>31.052</v>
      </c>
      <c r="K63" s="22">
        <v>216.517</v>
      </c>
      <c r="L63" s="23">
        <f t="shared" si="19"/>
        <v>-46.93210784313726</v>
      </c>
      <c r="M63" s="81"/>
      <c r="N63" s="43"/>
    </row>
    <row r="64" spans="1:14" ht="21.75" customHeight="1" outlineLevel="1" x14ac:dyDescent="0.25">
      <c r="A64" s="29" t="s">
        <v>105</v>
      </c>
      <c r="B64" s="25" t="s">
        <v>106</v>
      </c>
      <c r="C64" s="17" t="s">
        <v>25</v>
      </c>
      <c r="D64" s="21">
        <v>11526.61</v>
      </c>
      <c r="E64" s="21">
        <v>12.638999999999999</v>
      </c>
      <c r="F64" s="21">
        <f>87.16+2704.16</f>
        <v>2791.3199999999997</v>
      </c>
      <c r="G64" s="21">
        <f>0.233</f>
        <v>0.23300000000000001</v>
      </c>
      <c r="H64" s="21">
        <f>1108.422+29.604</f>
        <v>1138.0260000000001</v>
      </c>
      <c r="I64" s="21">
        <f>9.099+87.16+2704.16</f>
        <v>2800.4189999999999</v>
      </c>
      <c r="J64" s="21">
        <f>0.546</f>
        <v>0.54600000000000004</v>
      </c>
      <c r="K64" s="22">
        <f>15.721+174.322+4551.644</f>
        <v>4741.6869999999999</v>
      </c>
      <c r="L64" s="23">
        <f t="shared" si="19"/>
        <v>-58.863126279105479</v>
      </c>
      <c r="M64" s="82"/>
      <c r="N64" s="43"/>
    </row>
    <row r="65" spans="1:14" ht="21.75" customHeight="1" outlineLevel="1" x14ac:dyDescent="0.25">
      <c r="A65" s="29" t="s">
        <v>107</v>
      </c>
      <c r="B65" s="16" t="s">
        <v>108</v>
      </c>
      <c r="C65" s="17" t="s">
        <v>25</v>
      </c>
      <c r="D65" s="21">
        <f>SUM(D66:D82)-0.01</f>
        <v>7328.46</v>
      </c>
      <c r="E65" s="21">
        <f t="shared" ref="E65:J65" si="20">SUM(E66:E82)-0.02</f>
        <v>1385.8109999999999</v>
      </c>
      <c r="F65" s="21">
        <f t="shared" si="20"/>
        <v>662.2879999999999</v>
      </c>
      <c r="G65" s="21">
        <f t="shared" si="20"/>
        <v>675.26099999999997</v>
      </c>
      <c r="H65" s="21">
        <f t="shared" si="20"/>
        <v>788.9129999999999</v>
      </c>
      <c r="I65" s="21">
        <f t="shared" si="20"/>
        <v>805.55499999999984</v>
      </c>
      <c r="J65" s="21">
        <f t="shared" si="20"/>
        <v>782.0999999999998</v>
      </c>
      <c r="K65" s="21">
        <f>SUM(K66:K82)</f>
        <v>5654.1339999999991</v>
      </c>
      <c r="L65" s="23">
        <f t="shared" si="19"/>
        <v>-22.846900986018909</v>
      </c>
      <c r="M65" s="66" t="s">
        <v>26</v>
      </c>
      <c r="N65" s="43"/>
    </row>
    <row r="66" spans="1:14" ht="21.75" customHeight="1" outlineLevel="1" x14ac:dyDescent="0.25">
      <c r="A66" s="29" t="s">
        <v>109</v>
      </c>
      <c r="B66" s="16" t="s">
        <v>110</v>
      </c>
      <c r="C66" s="17" t="s">
        <v>25</v>
      </c>
      <c r="D66" s="21">
        <v>3116.29</v>
      </c>
      <c r="E66" s="21">
        <f>55.159+281.023</f>
        <v>336.18200000000002</v>
      </c>
      <c r="F66" s="21">
        <f>55.159+294.248</f>
        <v>349.40699999999998</v>
      </c>
      <c r="G66" s="21">
        <f>55.159+296.533</f>
        <v>351.69200000000001</v>
      </c>
      <c r="H66" s="21">
        <f>54.276+301.608</f>
        <v>355.88400000000001</v>
      </c>
      <c r="I66" s="21">
        <f>61.183+304.388</f>
        <v>365.57099999999997</v>
      </c>
      <c r="J66" s="21">
        <f>61.183+348.39</f>
        <v>409.57299999999998</v>
      </c>
      <c r="K66" s="22">
        <f>2191.439+367.135</f>
        <v>2558.5739999999996</v>
      </c>
      <c r="L66" s="23">
        <f t="shared" si="19"/>
        <v>-17.896793944080954</v>
      </c>
      <c r="M66" s="66" t="s">
        <v>26</v>
      </c>
      <c r="N66" s="43"/>
    </row>
    <row r="67" spans="1:14" ht="21.75" customHeight="1" outlineLevel="1" x14ac:dyDescent="0.25">
      <c r="A67" s="29" t="s">
        <v>111</v>
      </c>
      <c r="B67" s="16" t="s">
        <v>112</v>
      </c>
      <c r="C67" s="17" t="s">
        <v>25</v>
      </c>
      <c r="D67" s="21">
        <v>1290.48</v>
      </c>
      <c r="E67" s="21">
        <f>21.35+118.746</f>
        <v>140.096</v>
      </c>
      <c r="F67" s="21">
        <f>81.455+114.262</f>
        <v>195.71699999999998</v>
      </c>
      <c r="G67" s="21">
        <f>80.893+126.23</f>
        <v>207.12299999999999</v>
      </c>
      <c r="H67" s="21">
        <f>89.629+154.095</f>
        <v>243.72399999999999</v>
      </c>
      <c r="I67" s="21">
        <f>58.661+105.103</f>
        <v>163.76400000000001</v>
      </c>
      <c r="J67" s="21">
        <f>64.865+25.045</f>
        <v>89.91</v>
      </c>
      <c r="K67" s="22">
        <f>806.65+329.473</f>
        <v>1136.123</v>
      </c>
      <c r="L67" s="23">
        <f t="shared" si="19"/>
        <v>-11.961208232595624</v>
      </c>
      <c r="M67" s="66" t="s">
        <v>26</v>
      </c>
      <c r="N67" s="43"/>
    </row>
    <row r="68" spans="1:14" ht="21.75" customHeight="1" outlineLevel="1" x14ac:dyDescent="0.25">
      <c r="A68" s="29" t="s">
        <v>113</v>
      </c>
      <c r="B68" s="16" t="s">
        <v>114</v>
      </c>
      <c r="C68" s="17" t="s">
        <v>25</v>
      </c>
      <c r="D68" s="21">
        <v>34</v>
      </c>
      <c r="E68" s="21"/>
      <c r="F68" s="21"/>
      <c r="G68" s="21"/>
      <c r="H68" s="21"/>
      <c r="I68" s="21"/>
      <c r="J68" s="21">
        <f>19.24+15+5.506</f>
        <v>39.745999999999995</v>
      </c>
      <c r="K68" s="22">
        <f>20.2</f>
        <v>20.2</v>
      </c>
      <c r="L68" s="23">
        <f t="shared" si="19"/>
        <v>-40.588235294117645</v>
      </c>
      <c r="M68" s="66" t="s">
        <v>26</v>
      </c>
    </row>
    <row r="69" spans="1:14" ht="21.75" customHeight="1" outlineLevel="1" x14ac:dyDescent="0.25">
      <c r="A69" s="29" t="s">
        <v>115</v>
      </c>
      <c r="B69" s="16" t="s">
        <v>116</v>
      </c>
      <c r="C69" s="17" t="s">
        <v>25</v>
      </c>
      <c r="D69" s="21">
        <v>42.87</v>
      </c>
      <c r="E69" s="21"/>
      <c r="F69" s="21">
        <v>8.09</v>
      </c>
      <c r="G69" s="21">
        <v>4.0449999999999999</v>
      </c>
      <c r="H69" s="21">
        <v>4.0449999999999999</v>
      </c>
      <c r="I69" s="21">
        <v>4.0449999999999999</v>
      </c>
      <c r="J69" s="21">
        <v>4.0449999999999999</v>
      </c>
      <c r="K69" s="22">
        <v>24.271000000000001</v>
      </c>
      <c r="L69" s="23">
        <f t="shared" si="19"/>
        <v>-43.384651271285279</v>
      </c>
      <c r="M69" s="66" t="s">
        <v>26</v>
      </c>
    </row>
    <row r="70" spans="1:14" ht="21.75" customHeight="1" outlineLevel="1" x14ac:dyDescent="0.25">
      <c r="A70" s="29" t="s">
        <v>117</v>
      </c>
      <c r="B70" s="44" t="s">
        <v>118</v>
      </c>
      <c r="C70" s="45" t="s">
        <v>25</v>
      </c>
      <c r="D70" s="39">
        <v>769.3</v>
      </c>
      <c r="E70" s="39">
        <f>759.302</f>
        <v>759.30200000000002</v>
      </c>
      <c r="F70" s="39"/>
      <c r="G70" s="39"/>
      <c r="H70" s="39"/>
      <c r="I70" s="39"/>
      <c r="J70" s="39"/>
      <c r="K70" s="22">
        <v>743.94899999999996</v>
      </c>
      <c r="L70" s="23">
        <f t="shared" si="19"/>
        <v>-3.295333419992204</v>
      </c>
      <c r="M70" s="66" t="s">
        <v>26</v>
      </c>
    </row>
    <row r="71" spans="1:14" s="24" customFormat="1" ht="21.75" customHeight="1" outlineLevel="1" x14ac:dyDescent="0.25">
      <c r="A71" s="29" t="s">
        <v>119</v>
      </c>
      <c r="B71" s="16" t="s">
        <v>80</v>
      </c>
      <c r="C71" s="17" t="s">
        <v>25</v>
      </c>
      <c r="D71" s="21">
        <v>254.24</v>
      </c>
      <c r="E71" s="21">
        <f>2.679+3.802+29.339+0.482+0.089</f>
        <v>36.390999999999998</v>
      </c>
      <c r="F71" s="21">
        <f>2.679+4.548+29.339+1.211+0.089</f>
        <v>37.866</v>
      </c>
      <c r="G71" s="21">
        <f>2.679+5.703+29.339+0.321+0.089</f>
        <v>38.130999999999993</v>
      </c>
      <c r="H71" s="21">
        <f>2.679+5.703+29.339+0.684+0.238</f>
        <v>38.642999999999994</v>
      </c>
      <c r="I71" s="21">
        <f>2.679+5.703+29.339+0.437+0.089</f>
        <v>38.246999999999993</v>
      </c>
      <c r="J71" s="21">
        <f>5.703+29.339+0.413+0.089+2.679</f>
        <v>38.222999999999999</v>
      </c>
      <c r="K71" s="22">
        <f>34.025+176.035+1.366+1.341+16.071</f>
        <v>228.83800000000002</v>
      </c>
      <c r="L71" s="23">
        <f t="shared" si="19"/>
        <v>-9.9913467589679072</v>
      </c>
      <c r="M71" s="66" t="s">
        <v>26</v>
      </c>
    </row>
    <row r="72" spans="1:14" s="24" customFormat="1" ht="21.75" customHeight="1" outlineLevel="1" x14ac:dyDescent="0.25">
      <c r="A72" s="29" t="s">
        <v>120</v>
      </c>
      <c r="B72" s="16" t="s">
        <v>121</v>
      </c>
      <c r="C72" s="17" t="s">
        <v>25</v>
      </c>
      <c r="D72" s="21">
        <v>153.76</v>
      </c>
      <c r="E72" s="21">
        <v>15.856</v>
      </c>
      <c r="F72" s="21">
        <v>15.856</v>
      </c>
      <c r="G72" s="21">
        <v>15.856</v>
      </c>
      <c r="H72" s="21">
        <v>15.856</v>
      </c>
      <c r="I72" s="21">
        <v>15.856</v>
      </c>
      <c r="J72" s="21">
        <v>15.856</v>
      </c>
      <c r="K72" s="22">
        <v>58.927999999999997</v>
      </c>
      <c r="L72" s="23">
        <f t="shared" si="19"/>
        <v>-61.675338189386054</v>
      </c>
      <c r="M72" s="66" t="s">
        <v>26</v>
      </c>
    </row>
    <row r="73" spans="1:14" s="24" customFormat="1" ht="42" customHeight="1" outlineLevel="1" x14ac:dyDescent="0.25">
      <c r="A73" s="29" t="s">
        <v>122</v>
      </c>
      <c r="B73" s="46" t="s">
        <v>123</v>
      </c>
      <c r="C73" s="36" t="s">
        <v>25</v>
      </c>
      <c r="D73" s="21">
        <v>150.30000000000001</v>
      </c>
      <c r="E73" s="21">
        <v>42.723999999999997</v>
      </c>
      <c r="F73" s="21"/>
      <c r="G73" s="21">
        <v>2.1</v>
      </c>
      <c r="H73" s="21">
        <v>8.6709999999999994</v>
      </c>
      <c r="I73" s="21">
        <v>45</v>
      </c>
      <c r="J73" s="21"/>
      <c r="K73" s="22">
        <v>313.125</v>
      </c>
      <c r="L73" s="23">
        <f t="shared" si="19"/>
        <v>108.33333333333331</v>
      </c>
      <c r="M73" s="66" t="s">
        <v>185</v>
      </c>
    </row>
    <row r="74" spans="1:14" s="24" customFormat="1" ht="21.75" customHeight="1" outlineLevel="1" x14ac:dyDescent="0.25">
      <c r="A74" s="29" t="s">
        <v>124</v>
      </c>
      <c r="B74" s="25" t="s">
        <v>125</v>
      </c>
      <c r="C74" s="17" t="s">
        <v>25</v>
      </c>
      <c r="D74" s="21">
        <v>212.72</v>
      </c>
      <c r="E74" s="21"/>
      <c r="F74" s="21"/>
      <c r="G74" s="21"/>
      <c r="H74" s="21">
        <v>53.18</v>
      </c>
      <c r="I74" s="21"/>
      <c r="J74" s="21">
        <v>141.5</v>
      </c>
      <c r="K74" s="22">
        <f>33.3+53.18</f>
        <v>86.47999999999999</v>
      </c>
      <c r="L74" s="23">
        <f>K74/D74*100-100</f>
        <v>-59.345618653629188</v>
      </c>
      <c r="M74" s="66" t="s">
        <v>26</v>
      </c>
    </row>
    <row r="75" spans="1:14" s="24" customFormat="1" ht="21.75" customHeight="1" outlineLevel="1" x14ac:dyDescent="0.25">
      <c r="A75" s="29" t="s">
        <v>126</v>
      </c>
      <c r="B75" s="25" t="s">
        <v>84</v>
      </c>
      <c r="C75" s="17" t="s">
        <v>25</v>
      </c>
      <c r="D75" s="21">
        <v>350.88</v>
      </c>
      <c r="E75" s="21">
        <v>29.276</v>
      </c>
      <c r="F75" s="21">
        <v>29.276</v>
      </c>
      <c r="G75" s="21">
        <v>29.276</v>
      </c>
      <c r="H75" s="21">
        <v>29.276</v>
      </c>
      <c r="I75" s="21">
        <v>29.276</v>
      </c>
      <c r="J75" s="21">
        <v>29.276</v>
      </c>
      <c r="K75" s="22">
        <v>187.953</v>
      </c>
      <c r="L75" s="23">
        <f t="shared" si="19"/>
        <v>-46.433823529411768</v>
      </c>
      <c r="M75" s="66" t="s">
        <v>26</v>
      </c>
    </row>
    <row r="76" spans="1:14" s="24" customFormat="1" ht="28.5" customHeight="1" outlineLevel="1" x14ac:dyDescent="0.25">
      <c r="A76" s="29" t="s">
        <v>127</v>
      </c>
      <c r="B76" s="47" t="s">
        <v>128</v>
      </c>
      <c r="C76" s="36" t="s">
        <v>25</v>
      </c>
      <c r="D76" s="21">
        <v>189.83</v>
      </c>
      <c r="E76" s="21"/>
      <c r="F76" s="21"/>
      <c r="G76" s="21"/>
      <c r="H76" s="21"/>
      <c r="I76" s="21"/>
      <c r="J76" s="21"/>
      <c r="K76" s="22"/>
      <c r="L76" s="23">
        <f t="shared" si="19"/>
        <v>-100</v>
      </c>
      <c r="M76" s="71" t="s">
        <v>184</v>
      </c>
    </row>
    <row r="77" spans="1:14" s="24" customFormat="1" ht="21.75" customHeight="1" outlineLevel="1" x14ac:dyDescent="0.25">
      <c r="A77" s="29" t="s">
        <v>129</v>
      </c>
      <c r="B77" s="47" t="s">
        <v>130</v>
      </c>
      <c r="C77" s="36" t="s">
        <v>25</v>
      </c>
      <c r="D77" s="21">
        <v>128.78</v>
      </c>
      <c r="E77" s="21"/>
      <c r="F77" s="21"/>
      <c r="G77" s="21"/>
      <c r="H77" s="21"/>
      <c r="I77" s="21">
        <v>128.78</v>
      </c>
      <c r="J77" s="21"/>
      <c r="K77" s="22">
        <v>90</v>
      </c>
      <c r="L77" s="23">
        <f t="shared" si="19"/>
        <v>-30.113371641559254</v>
      </c>
      <c r="M77" s="66" t="s">
        <v>26</v>
      </c>
    </row>
    <row r="78" spans="1:14" s="24" customFormat="1" ht="29.25" customHeight="1" outlineLevel="1" x14ac:dyDescent="0.25">
      <c r="A78" s="29" t="s">
        <v>131</v>
      </c>
      <c r="B78" s="47" t="s">
        <v>132</v>
      </c>
      <c r="C78" s="36" t="s">
        <v>25</v>
      </c>
      <c r="D78" s="21">
        <v>140</v>
      </c>
      <c r="E78" s="21"/>
      <c r="F78" s="21"/>
      <c r="G78" s="21"/>
      <c r="H78" s="21"/>
      <c r="I78" s="21"/>
      <c r="J78" s="21"/>
      <c r="K78" s="22"/>
      <c r="L78" s="23">
        <f t="shared" si="19"/>
        <v>-100</v>
      </c>
      <c r="M78" s="71" t="s">
        <v>184</v>
      </c>
    </row>
    <row r="79" spans="1:14" s="24" customFormat="1" ht="21.75" customHeight="1" outlineLevel="1" x14ac:dyDescent="0.25">
      <c r="A79" s="29" t="s">
        <v>133</v>
      </c>
      <c r="B79" s="25" t="s">
        <v>134</v>
      </c>
      <c r="C79" s="17" t="s">
        <v>25</v>
      </c>
      <c r="D79" s="21">
        <v>96.44</v>
      </c>
      <c r="E79" s="21">
        <v>12.244999999999999</v>
      </c>
      <c r="F79" s="21">
        <v>11.06</v>
      </c>
      <c r="G79" s="21">
        <v>12.244999999999999</v>
      </c>
      <c r="H79" s="21">
        <v>11.85</v>
      </c>
      <c r="I79" s="21"/>
      <c r="J79" s="21"/>
      <c r="K79" s="22">
        <v>65.558999999999997</v>
      </c>
      <c r="L79" s="23">
        <f t="shared" si="19"/>
        <v>-32.020945665698889</v>
      </c>
      <c r="M79" s="66" t="s">
        <v>26</v>
      </c>
    </row>
    <row r="80" spans="1:14" s="24" customFormat="1" ht="29.25" customHeight="1" outlineLevel="1" x14ac:dyDescent="0.25">
      <c r="A80" s="29" t="s">
        <v>135</v>
      </c>
      <c r="B80" s="25" t="s">
        <v>136</v>
      </c>
      <c r="C80" s="17" t="s">
        <v>25</v>
      </c>
      <c r="D80" s="21">
        <v>144</v>
      </c>
      <c r="E80" s="21">
        <v>12</v>
      </c>
      <c r="F80" s="21">
        <v>12</v>
      </c>
      <c r="G80" s="21">
        <v>12</v>
      </c>
      <c r="H80" s="21">
        <v>12</v>
      </c>
      <c r="I80" s="21">
        <v>12</v>
      </c>
      <c r="J80" s="21">
        <v>12</v>
      </c>
      <c r="K80" s="22">
        <v>96</v>
      </c>
      <c r="L80" s="23">
        <f t="shared" si="19"/>
        <v>-33.333333333333343</v>
      </c>
      <c r="M80" s="66" t="s">
        <v>26</v>
      </c>
    </row>
    <row r="81" spans="1:14" s="24" customFormat="1" ht="28.5" customHeight="1" outlineLevel="1" x14ac:dyDescent="0.25">
      <c r="A81" s="29" t="s">
        <v>137</v>
      </c>
      <c r="B81" s="25" t="s">
        <v>138</v>
      </c>
      <c r="C81" s="17" t="s">
        <v>25</v>
      </c>
      <c r="D81" s="21">
        <v>16.329999999999998</v>
      </c>
      <c r="E81" s="21">
        <f>1.759</f>
        <v>1.7589999999999999</v>
      </c>
      <c r="F81" s="21">
        <v>3.036</v>
      </c>
      <c r="G81" s="21">
        <v>2.8130000000000002</v>
      </c>
      <c r="H81" s="21">
        <v>15.804</v>
      </c>
      <c r="I81" s="21">
        <v>3.036</v>
      </c>
      <c r="J81" s="48">
        <v>1.9910000000000001</v>
      </c>
      <c r="K81" s="22">
        <v>44.134</v>
      </c>
      <c r="L81" s="23">
        <f t="shared" si="19"/>
        <v>170.263319044703</v>
      </c>
      <c r="M81" s="72" t="s">
        <v>139</v>
      </c>
    </row>
    <row r="82" spans="1:14" s="24" customFormat="1" ht="28.5" customHeight="1" outlineLevel="1" x14ac:dyDescent="0.25">
      <c r="A82" s="29" t="s">
        <v>140</v>
      </c>
      <c r="B82" s="25" t="s">
        <v>141</v>
      </c>
      <c r="C82" s="17" t="s">
        <v>25</v>
      </c>
      <c r="D82" s="21">
        <v>238.25</v>
      </c>
      <c r="E82" s="21"/>
      <c r="F82" s="21"/>
      <c r="G82" s="21"/>
      <c r="H82" s="21"/>
      <c r="I82" s="21"/>
      <c r="J82" s="21"/>
      <c r="K82" s="22"/>
      <c r="L82" s="23">
        <f t="shared" si="19"/>
        <v>-100</v>
      </c>
      <c r="M82" s="71" t="s">
        <v>184</v>
      </c>
    </row>
    <row r="83" spans="1:14" ht="20.25" customHeight="1" x14ac:dyDescent="0.25">
      <c r="A83" s="19" t="s">
        <v>142</v>
      </c>
      <c r="B83" s="20" t="s">
        <v>143</v>
      </c>
      <c r="C83" s="11" t="s">
        <v>25</v>
      </c>
      <c r="D83" s="12"/>
      <c r="E83" s="12"/>
      <c r="F83" s="12"/>
      <c r="G83" s="12"/>
      <c r="H83" s="12"/>
      <c r="I83" s="12"/>
      <c r="J83" s="12"/>
      <c r="K83" s="22"/>
      <c r="L83" s="23"/>
      <c r="M83" s="66"/>
    </row>
    <row r="84" spans="1:14" ht="26.25" customHeight="1" x14ac:dyDescent="0.25">
      <c r="A84" s="19" t="s">
        <v>144</v>
      </c>
      <c r="B84" s="20" t="s">
        <v>145</v>
      </c>
      <c r="C84" s="11" t="s">
        <v>25</v>
      </c>
      <c r="D84" s="12">
        <f t="shared" ref="D84:J84" si="21">D20+D58</f>
        <v>525038.97000000009</v>
      </c>
      <c r="E84" s="12">
        <f t="shared" si="21"/>
        <v>84234.965360000017</v>
      </c>
      <c r="F84" s="12">
        <f t="shared" si="21"/>
        <v>72709.244359999997</v>
      </c>
      <c r="G84" s="12">
        <f t="shared" si="21"/>
        <v>67813.489359999992</v>
      </c>
      <c r="H84" s="12">
        <f t="shared" si="21"/>
        <v>58359.595359999992</v>
      </c>
      <c r="I84" s="12">
        <f t="shared" si="21"/>
        <v>19217.237359999999</v>
      </c>
      <c r="J84" s="12">
        <f t="shared" si="21"/>
        <v>19387.733360000002</v>
      </c>
      <c r="K84" s="13">
        <f>K58+K20</f>
        <v>321133.41015999997</v>
      </c>
      <c r="L84" s="14">
        <f>K84/D84*100-100</f>
        <v>-38.836271494285477</v>
      </c>
      <c r="M84" s="65" t="s">
        <v>26</v>
      </c>
    </row>
    <row r="85" spans="1:14" ht="20.25" customHeight="1" x14ac:dyDescent="0.25">
      <c r="A85" s="19" t="s">
        <v>146</v>
      </c>
      <c r="B85" s="20" t="s">
        <v>147</v>
      </c>
      <c r="C85" s="11" t="s">
        <v>25</v>
      </c>
      <c r="D85" s="12">
        <v>7138.4</v>
      </c>
      <c r="E85" s="12"/>
      <c r="F85" s="12"/>
      <c r="G85" s="12"/>
      <c r="H85" s="12"/>
      <c r="I85" s="12"/>
      <c r="J85" s="12"/>
      <c r="K85" s="49"/>
      <c r="L85" s="14"/>
      <c r="M85" s="66"/>
    </row>
    <row r="86" spans="1:14" ht="20.25" customHeight="1" x14ac:dyDescent="0.25">
      <c r="A86" s="19" t="s">
        <v>148</v>
      </c>
      <c r="B86" s="20" t="s">
        <v>149</v>
      </c>
      <c r="C86" s="11" t="s">
        <v>25</v>
      </c>
      <c r="D86" s="12">
        <v>495026.04</v>
      </c>
      <c r="E86" s="12"/>
      <c r="F86" s="12"/>
      <c r="G86" s="12"/>
      <c r="H86" s="12"/>
      <c r="I86" s="12"/>
      <c r="J86" s="12"/>
      <c r="K86" s="49"/>
      <c r="L86" s="14"/>
      <c r="M86" s="66"/>
    </row>
    <row r="87" spans="1:14" ht="20.25" customHeight="1" x14ac:dyDescent="0.25">
      <c r="A87" s="19" t="s">
        <v>150</v>
      </c>
      <c r="B87" s="10" t="s">
        <v>151</v>
      </c>
      <c r="C87" s="11" t="s">
        <v>25</v>
      </c>
      <c r="D87" s="50">
        <f>D85+D84</f>
        <v>532177.37000000011</v>
      </c>
      <c r="E87" s="50">
        <f t="shared" ref="E87:K87" si="22">E85+E84</f>
        <v>84234.965360000017</v>
      </c>
      <c r="F87" s="50">
        <f t="shared" si="22"/>
        <v>72709.244359999997</v>
      </c>
      <c r="G87" s="50">
        <f t="shared" si="22"/>
        <v>67813.489359999992</v>
      </c>
      <c r="H87" s="50">
        <f t="shared" si="22"/>
        <v>58359.595359999992</v>
      </c>
      <c r="I87" s="50">
        <f t="shared" si="22"/>
        <v>19217.237359999999</v>
      </c>
      <c r="J87" s="50">
        <f t="shared" si="22"/>
        <v>19387.733360000002</v>
      </c>
      <c r="K87" s="50">
        <f t="shared" si="22"/>
        <v>321133.41015999997</v>
      </c>
      <c r="L87" s="14">
        <f>K87/D87*100-100</f>
        <v>-39.656695631383222</v>
      </c>
      <c r="M87" s="66"/>
      <c r="N87" s="51"/>
    </row>
    <row r="88" spans="1:14" ht="27" customHeight="1" x14ac:dyDescent="0.25">
      <c r="A88" s="19" t="s">
        <v>152</v>
      </c>
      <c r="B88" s="10" t="s">
        <v>153</v>
      </c>
      <c r="C88" s="11" t="s">
        <v>154</v>
      </c>
      <c r="D88" s="12">
        <v>134909.04</v>
      </c>
      <c r="E88" s="12">
        <v>22995.637999999999</v>
      </c>
      <c r="F88" s="12">
        <v>22318.935000000001</v>
      </c>
      <c r="G88" s="12">
        <v>20136.735000000001</v>
      </c>
      <c r="H88" s="12">
        <v>16162.442999999999</v>
      </c>
      <c r="I88" s="12"/>
      <c r="J88" s="12"/>
      <c r="K88" s="27">
        <f>K29/1198.26*1000</f>
        <v>82471.628999999986</v>
      </c>
      <c r="L88" s="14">
        <f>K88/D88*100-100</f>
        <v>-38.868715543450627</v>
      </c>
      <c r="M88" s="30" t="s">
        <v>26</v>
      </c>
      <c r="N88" s="51"/>
    </row>
    <row r="89" spans="1:14" ht="20.25" customHeight="1" x14ac:dyDescent="0.25">
      <c r="A89" s="83" t="s">
        <v>155</v>
      </c>
      <c r="B89" s="85" t="s">
        <v>156</v>
      </c>
      <c r="C89" s="11" t="s">
        <v>157</v>
      </c>
      <c r="D89" s="52">
        <v>24</v>
      </c>
      <c r="E89" s="52">
        <v>24</v>
      </c>
      <c r="F89" s="52">
        <v>24</v>
      </c>
      <c r="G89" s="52">
        <v>24</v>
      </c>
      <c r="H89" s="52">
        <v>24</v>
      </c>
      <c r="I89" s="52"/>
      <c r="J89" s="52"/>
      <c r="K89" s="53">
        <v>24</v>
      </c>
      <c r="L89" s="54"/>
      <c r="M89" s="66"/>
      <c r="N89" s="51"/>
    </row>
    <row r="90" spans="1:14" ht="20.25" customHeight="1" x14ac:dyDescent="0.25">
      <c r="A90" s="84"/>
      <c r="B90" s="86"/>
      <c r="C90" s="11" t="s">
        <v>154</v>
      </c>
      <c r="D90" s="12">
        <v>42602.85</v>
      </c>
      <c r="E90" s="12">
        <v>13373.76</v>
      </c>
      <c r="F90" s="12">
        <v>10687.92</v>
      </c>
      <c r="G90" s="12">
        <v>9374.8799999999992</v>
      </c>
      <c r="H90" s="12">
        <v>5809.92</v>
      </c>
      <c r="I90" s="12"/>
      <c r="J90" s="12"/>
      <c r="K90" s="27">
        <f>K30/1198.26*1000</f>
        <v>39065.040000000001</v>
      </c>
      <c r="L90" s="14"/>
      <c r="M90" s="66"/>
    </row>
    <row r="91" spans="1:14" ht="20.25" customHeight="1" x14ac:dyDescent="0.25">
      <c r="A91" s="19" t="s">
        <v>152</v>
      </c>
      <c r="B91" s="20" t="s">
        <v>158</v>
      </c>
      <c r="C91" s="11" t="s">
        <v>159</v>
      </c>
      <c r="D91" s="12">
        <f>D87/D88*1000</f>
        <v>3944.7124521825972</v>
      </c>
      <c r="E91" s="12"/>
      <c r="F91" s="12"/>
      <c r="G91" s="12"/>
      <c r="H91" s="12"/>
      <c r="I91" s="12"/>
      <c r="J91" s="12"/>
      <c r="K91" s="13">
        <v>3944.71</v>
      </c>
      <c r="L91" s="12"/>
      <c r="M91" s="66"/>
    </row>
    <row r="92" spans="1:14" ht="20.25" hidden="1" customHeight="1" x14ac:dyDescent="0.25">
      <c r="A92" s="19"/>
      <c r="B92" s="16" t="s">
        <v>160</v>
      </c>
      <c r="C92" s="17"/>
      <c r="D92" s="21"/>
      <c r="E92" s="21"/>
      <c r="F92" s="21"/>
      <c r="G92" s="21"/>
      <c r="H92" s="21"/>
      <c r="I92" s="21"/>
      <c r="J92" s="21"/>
      <c r="K92" s="39"/>
      <c r="L92" s="21"/>
      <c r="M92" s="66"/>
    </row>
    <row r="93" spans="1:14" ht="20.25" hidden="1" customHeight="1" x14ac:dyDescent="0.25">
      <c r="A93" s="15" t="s">
        <v>161</v>
      </c>
      <c r="B93" s="16" t="s">
        <v>162</v>
      </c>
      <c r="C93" s="17" t="s">
        <v>163</v>
      </c>
      <c r="D93" s="56">
        <f>SUM(D95:D96)</f>
        <v>106</v>
      </c>
      <c r="E93" s="56">
        <f t="shared" ref="E93:K93" ca="1" si="23">SUM(E95:E96)</f>
        <v>106</v>
      </c>
      <c r="F93" s="56">
        <f t="shared" ca="1" si="23"/>
        <v>106</v>
      </c>
      <c r="G93" s="56">
        <f t="shared" ca="1" si="23"/>
        <v>106</v>
      </c>
      <c r="H93" s="56">
        <f t="shared" ca="1" si="23"/>
        <v>106</v>
      </c>
      <c r="I93" s="56">
        <f t="shared" ca="1" si="23"/>
        <v>106</v>
      </c>
      <c r="J93" s="56">
        <f t="shared" ca="1" si="23"/>
        <v>106</v>
      </c>
      <c r="K93" s="56">
        <f t="shared" si="23"/>
        <v>97</v>
      </c>
      <c r="L93" s="21"/>
      <c r="M93" s="66"/>
    </row>
    <row r="94" spans="1:14" ht="20.25" hidden="1" customHeight="1" x14ac:dyDescent="0.25">
      <c r="A94" s="15"/>
      <c r="B94" s="16" t="s">
        <v>27</v>
      </c>
      <c r="C94" s="17"/>
      <c r="D94" s="21"/>
      <c r="E94" s="21"/>
      <c r="F94" s="21"/>
      <c r="G94" s="21"/>
      <c r="H94" s="21"/>
      <c r="I94" s="21"/>
      <c r="J94" s="21"/>
      <c r="K94" s="39"/>
      <c r="L94" s="21"/>
      <c r="M94" s="66"/>
    </row>
    <row r="95" spans="1:14" ht="20.25" hidden="1" customHeight="1" x14ac:dyDescent="0.25">
      <c r="A95" s="15" t="s">
        <v>164</v>
      </c>
      <c r="B95" s="16" t="s">
        <v>165</v>
      </c>
      <c r="C95" s="17" t="s">
        <v>163</v>
      </c>
      <c r="D95" s="56">
        <v>90</v>
      </c>
      <c r="E95" s="56">
        <f t="shared" ref="E95:J95" ca="1" si="24">E93-E96</f>
        <v>90</v>
      </c>
      <c r="F95" s="56">
        <f t="shared" ca="1" si="24"/>
        <v>85</v>
      </c>
      <c r="G95" s="56">
        <f t="shared" ca="1" si="24"/>
        <v>86</v>
      </c>
      <c r="H95" s="56">
        <f t="shared" ca="1" si="24"/>
        <v>87</v>
      </c>
      <c r="I95" s="56">
        <f t="shared" ca="1" si="24"/>
        <v>87</v>
      </c>
      <c r="J95" s="56">
        <f t="shared" ca="1" si="24"/>
        <v>85</v>
      </c>
      <c r="K95" s="55">
        <v>82</v>
      </c>
      <c r="L95" s="21"/>
      <c r="M95" s="66"/>
    </row>
    <row r="96" spans="1:14" ht="20.25" hidden="1" customHeight="1" x14ac:dyDescent="0.25">
      <c r="A96" s="15" t="s">
        <v>166</v>
      </c>
      <c r="B96" s="16" t="s">
        <v>167</v>
      </c>
      <c r="C96" s="17" t="s">
        <v>163</v>
      </c>
      <c r="D96" s="56">
        <v>16</v>
      </c>
      <c r="E96" s="56">
        <v>15</v>
      </c>
      <c r="F96" s="56">
        <v>15</v>
      </c>
      <c r="G96" s="56">
        <v>15</v>
      </c>
      <c r="H96" s="56">
        <v>15</v>
      </c>
      <c r="I96" s="56">
        <v>15</v>
      </c>
      <c r="J96" s="56">
        <v>14</v>
      </c>
      <c r="K96" s="55">
        <v>15</v>
      </c>
      <c r="L96" s="21"/>
      <c r="M96" s="66"/>
    </row>
    <row r="97" spans="1:13" ht="20.25" hidden="1" customHeight="1" x14ac:dyDescent="0.25">
      <c r="A97" s="15" t="s">
        <v>168</v>
      </c>
      <c r="B97" s="16" t="s">
        <v>169</v>
      </c>
      <c r="C97" s="17" t="s">
        <v>170</v>
      </c>
      <c r="D97" s="21">
        <f>(D61+D35)/12/D93*1000</f>
        <v>91524.850628930843</v>
      </c>
      <c r="E97" s="21">
        <f t="shared" ref="E97:J97" ca="1" si="25">(E61+E35)/12/E93*1000</f>
        <v>91524.850628930843</v>
      </c>
      <c r="F97" s="21">
        <f t="shared" ca="1" si="25"/>
        <v>91524.850628930843</v>
      </c>
      <c r="G97" s="21">
        <f t="shared" ca="1" si="25"/>
        <v>91524.850628930843</v>
      </c>
      <c r="H97" s="21">
        <f t="shared" ca="1" si="25"/>
        <v>91524.850628930843</v>
      </c>
      <c r="I97" s="21">
        <f t="shared" ca="1" si="25"/>
        <v>91524.850628930843</v>
      </c>
      <c r="J97" s="21">
        <f t="shared" ca="1" si="25"/>
        <v>91524.850628930843</v>
      </c>
      <c r="K97" s="21">
        <f>(K61+K35)/6/K93*1000</f>
        <v>108434.41924398627</v>
      </c>
      <c r="L97" s="21"/>
      <c r="M97" s="66"/>
    </row>
    <row r="98" spans="1:13" ht="20.25" hidden="1" customHeight="1" x14ac:dyDescent="0.25">
      <c r="A98" s="15" t="s">
        <v>171</v>
      </c>
      <c r="B98" s="16" t="s">
        <v>172</v>
      </c>
      <c r="C98" s="17" t="s">
        <v>170</v>
      </c>
      <c r="D98" s="21">
        <f>D35/12/D95*1000+0.01</f>
        <v>82610.954444444447</v>
      </c>
      <c r="E98" s="21">
        <f t="shared" ref="E98:J98" ca="1" si="26">E35/12/E95*1000</f>
        <v>82610.944444444453</v>
      </c>
      <c r="F98" s="21">
        <f t="shared" ca="1" si="26"/>
        <v>82610.944444444453</v>
      </c>
      <c r="G98" s="21">
        <f t="shared" ca="1" si="26"/>
        <v>82610.944444444453</v>
      </c>
      <c r="H98" s="21">
        <f t="shared" ca="1" si="26"/>
        <v>82610.944444444453</v>
      </c>
      <c r="I98" s="21">
        <f t="shared" ca="1" si="26"/>
        <v>82610.944444444453</v>
      </c>
      <c r="J98" s="21">
        <f t="shared" ca="1" si="26"/>
        <v>82610.944444444453</v>
      </c>
      <c r="K98" s="21">
        <f>K35/6/K95*1000</f>
        <v>98930.981707317085</v>
      </c>
      <c r="L98" s="21"/>
      <c r="M98" s="66"/>
    </row>
    <row r="99" spans="1:13" ht="20.25" hidden="1" customHeight="1" x14ac:dyDescent="0.25">
      <c r="A99" s="15" t="s">
        <v>173</v>
      </c>
      <c r="B99" s="16" t="s">
        <v>174</v>
      </c>
      <c r="C99" s="17" t="s">
        <v>170</v>
      </c>
      <c r="D99" s="21">
        <f>D61/D96/12*1000-0.01</f>
        <v>141665.56291666665</v>
      </c>
      <c r="E99" s="21">
        <f t="shared" ref="E99:J99" si="27">E61/E96/12*1000-0.01</f>
        <v>13346.934444444447</v>
      </c>
      <c r="F99" s="21">
        <f t="shared" si="27"/>
        <v>11803.673333333334</v>
      </c>
      <c r="G99" s="21">
        <f t="shared" si="27"/>
        <v>12826.223333333333</v>
      </c>
      <c r="H99" s="21">
        <f t="shared" si="27"/>
        <v>15008.312222222221</v>
      </c>
      <c r="I99" s="21">
        <f t="shared" si="27"/>
        <v>11397.717777777776</v>
      </c>
      <c r="J99" s="21">
        <f t="shared" si="27"/>
        <v>12322.228095238093</v>
      </c>
      <c r="K99" s="21">
        <f>K61/K96/6*1000</f>
        <v>160386.54444444444</v>
      </c>
      <c r="L99" s="21"/>
      <c r="M99" s="66"/>
    </row>
    <row r="100" spans="1:13" ht="20.25" customHeight="1" x14ac:dyDescent="0.25">
      <c r="A100" s="57"/>
      <c r="B100" s="58"/>
      <c r="C100" s="59"/>
      <c r="D100" s="60"/>
      <c r="E100" s="60"/>
      <c r="F100" s="60"/>
      <c r="G100" s="60"/>
      <c r="H100" s="60"/>
      <c r="I100" s="60"/>
      <c r="J100" s="60"/>
      <c r="K100" s="61"/>
      <c r="L100" s="60"/>
      <c r="M100" s="67"/>
    </row>
    <row r="101" spans="1:13" ht="20.25" customHeight="1" x14ac:dyDescent="0.25">
      <c r="A101" s="7" t="s">
        <v>175</v>
      </c>
    </row>
    <row r="102" spans="1:13" ht="20.25" customHeight="1" x14ac:dyDescent="0.25">
      <c r="A102" s="7" t="s">
        <v>176</v>
      </c>
    </row>
    <row r="103" spans="1:13" ht="20.25" customHeight="1" x14ac:dyDescent="0.25">
      <c r="A103" s="79" t="s">
        <v>182</v>
      </c>
      <c r="B103" s="79"/>
    </row>
    <row r="104" spans="1:13" ht="20.25" customHeight="1" x14ac:dyDescent="0.25">
      <c r="A104" s="87" t="s">
        <v>177</v>
      </c>
      <c r="B104" s="87"/>
    </row>
    <row r="105" spans="1:13" ht="20.25" customHeight="1" x14ac:dyDescent="0.25">
      <c r="A105" s="79" t="s">
        <v>178</v>
      </c>
      <c r="B105" s="79"/>
    </row>
    <row r="106" spans="1:13" ht="12.75" customHeight="1" x14ac:dyDescent="0.25"/>
    <row r="107" spans="1:13" ht="20.25" customHeight="1" x14ac:dyDescent="0.25">
      <c r="A107" s="79" t="s">
        <v>186</v>
      </c>
      <c r="B107" s="79"/>
    </row>
    <row r="108" spans="1:13" ht="27" customHeight="1" x14ac:dyDescent="0.25"/>
    <row r="109" spans="1:13" x14ac:dyDescent="0.25">
      <c r="A109" s="79" t="s">
        <v>187</v>
      </c>
      <c r="B109" s="79"/>
    </row>
  </sheetData>
  <mergeCells count="19">
    <mergeCell ref="A8:M8"/>
    <mergeCell ref="A9:D9"/>
    <mergeCell ref="A11:D11"/>
    <mergeCell ref="A12:D12"/>
    <mergeCell ref="A13:D13"/>
    <mergeCell ref="A14:D14"/>
    <mergeCell ref="A15:D15"/>
    <mergeCell ref="A17:M17"/>
    <mergeCell ref="A18:D18"/>
    <mergeCell ref="M40:M41"/>
    <mergeCell ref="M33:M38"/>
    <mergeCell ref="A107:B107"/>
    <mergeCell ref="A109:B109"/>
    <mergeCell ref="M61:M64"/>
    <mergeCell ref="A89:A90"/>
    <mergeCell ref="B89:B90"/>
    <mergeCell ref="A103:B103"/>
    <mergeCell ref="A104:B104"/>
    <mergeCell ref="A105:B105"/>
  </mergeCells>
  <hyperlinks>
    <hyperlink ref="A104" r:id="rId1"/>
  </hyperlinks>
  <pageMargins left="0.19685039370078741" right="0.19685039370078741" top="0.98425196850393704" bottom="0.27559055118110237" header="0.27559055118110237" footer="0.19685039370078741"/>
  <pageSetup paperSize="9" scale="79" firstPageNumber="0" fitToHeight="0" orientation="landscape" r:id="rId2"/>
  <ignoredErrors>
    <ignoredError sqref="D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2019-07-23T04:27:24Z</cp:lastPrinted>
  <dcterms:created xsi:type="dcterms:W3CDTF">2019-07-10T09:11:31Z</dcterms:created>
  <dcterms:modified xsi:type="dcterms:W3CDTF">2019-07-23T10:24:29Z</dcterms:modified>
</cp:coreProperties>
</file>